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style3.xml" ContentType="application/vnd.ms-office.chartstyle+xml"/>
  <Override PartName="/xl/charts/colors3.xml" ContentType="application/vnd.ms-office.chartcolorstyle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Water\Financial Plans\Financial Plan - 2023 Update\Commerical Rate Alternatives\"/>
    </mc:Choice>
  </mc:AlternateContent>
  <xr:revisionPtr revIDLastSave="0" documentId="13_ncr:1_{398A32A3-FB8B-44C3-A38F-8B05FD7EA086}" xr6:coauthVersionLast="47" xr6:coauthVersionMax="47" xr10:uidLastSave="{00000000-0000-0000-0000-000000000000}"/>
  <bookViews>
    <workbookView xWindow="-108" yWindow="-108" windowWidth="23256" windowHeight="12576" xr2:uid="{AA1993B0-E023-45D6-8C19-95A556865F4F}"/>
  </bookViews>
  <sheets>
    <sheet name="Sheet1" sheetId="1" r:id="rId1"/>
    <sheet name="Drop Down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1" l="1"/>
  <c r="J22" i="1"/>
  <c r="Z24" i="1"/>
  <c r="Z26" i="1"/>
  <c r="Z28" i="1"/>
  <c r="Z30" i="1"/>
  <c r="Z32" i="1"/>
  <c r="Z34" i="1"/>
  <c r="Z36" i="1"/>
  <c r="Z38" i="1"/>
  <c r="Z22" i="1"/>
  <c r="R22" i="1"/>
  <c r="AF11" i="1"/>
  <c r="AD11" i="1"/>
  <c r="AB11" i="1"/>
  <c r="D95" i="1" l="1"/>
  <c r="D89" i="1"/>
  <c r="D90" i="1"/>
  <c r="D91" i="1"/>
  <c r="D92" i="1"/>
  <c r="D93" i="1"/>
  <c r="D94" i="1"/>
  <c r="Z86" i="1" l="1"/>
  <c r="Z85" i="1"/>
  <c r="Z84" i="1"/>
  <c r="R86" i="1"/>
  <c r="R85" i="1"/>
  <c r="R84" i="1"/>
  <c r="J88" i="1"/>
  <c r="P88" i="1" s="1"/>
  <c r="J87" i="1"/>
  <c r="P87" i="1" s="1"/>
  <c r="J86" i="1"/>
  <c r="P86" i="1" s="1"/>
  <c r="J85" i="1"/>
  <c r="P85" i="1" s="1"/>
  <c r="J84" i="1"/>
  <c r="P84" i="1" s="1"/>
  <c r="F51" i="2"/>
  <c r="F59" i="2"/>
  <c r="A59" i="2"/>
  <c r="F58" i="2"/>
  <c r="A58" i="2"/>
  <c r="F57" i="2"/>
  <c r="A57" i="2"/>
  <c r="F56" i="2"/>
  <c r="A56" i="2"/>
  <c r="F55" i="2"/>
  <c r="A55" i="2"/>
  <c r="F54" i="2"/>
  <c r="A54" i="2"/>
  <c r="F53" i="2"/>
  <c r="A53" i="2"/>
  <c r="F52" i="2"/>
  <c r="A52" i="2"/>
  <c r="A51" i="2"/>
  <c r="A50" i="2"/>
  <c r="A49" i="2"/>
  <c r="A48" i="2"/>
  <c r="A47" i="2"/>
  <c r="A46" i="2"/>
  <c r="A45" i="2"/>
  <c r="O39" i="1"/>
  <c r="M39" i="1"/>
  <c r="K39" i="1"/>
  <c r="AA39" i="1"/>
  <c r="AC39" i="1"/>
  <c r="AE39" i="1"/>
  <c r="AG39" i="1"/>
  <c r="S39" i="1"/>
  <c r="U39" i="1"/>
  <c r="W39" i="1"/>
  <c r="N95" i="1" l="1"/>
  <c r="L95" i="1" s="1"/>
  <c r="J95" i="1" s="1"/>
  <c r="N91" i="1"/>
  <c r="L91" i="1" s="1"/>
  <c r="J91" i="1" s="1"/>
  <c r="N93" i="1"/>
  <c r="L93" i="1" s="1"/>
  <c r="J93" i="1" s="1"/>
  <c r="N89" i="1"/>
  <c r="N90" i="1"/>
  <c r="L90" i="1" s="1"/>
  <c r="J90" i="1" s="1"/>
  <c r="N92" i="1"/>
  <c r="L92" i="1" s="1"/>
  <c r="J92" i="1" s="1"/>
  <c r="N94" i="1"/>
  <c r="L94" i="1" s="1"/>
  <c r="J94" i="1" s="1"/>
  <c r="N32" i="1"/>
  <c r="N34" i="1"/>
  <c r="L89" i="1" l="1"/>
  <c r="J89" i="1" s="1"/>
  <c r="P89" i="1" s="1"/>
  <c r="P94" i="1"/>
  <c r="P95" i="1"/>
  <c r="P92" i="1"/>
  <c r="P93" i="1"/>
  <c r="P91" i="1"/>
  <c r="P90" i="1"/>
  <c r="F39" i="2" l="1"/>
  <c r="F40" i="2"/>
  <c r="F41" i="2"/>
  <c r="F42" i="2"/>
  <c r="F43" i="2"/>
  <c r="F44" i="2"/>
  <c r="F38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24" i="2"/>
  <c r="A11" i="2" l="1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10" i="2"/>
  <c r="AO10" i="1"/>
  <c r="E40" i="1" a="1"/>
  <c r="E40" i="1" s="1"/>
  <c r="D46" i="1" s="1"/>
  <c r="AD24" i="1" l="1"/>
  <c r="AD34" i="1"/>
  <c r="AD36" i="1"/>
  <c r="AD32" i="1"/>
  <c r="AD28" i="1"/>
  <c r="AD38" i="1"/>
  <c r="AD22" i="1"/>
  <c r="AD26" i="1"/>
  <c r="AD30" i="1"/>
  <c r="AF95" i="1"/>
  <c r="AD95" i="1" s="1"/>
  <c r="AB95" i="1" s="1"/>
  <c r="Z95" i="1" s="1"/>
  <c r="AF89" i="1"/>
  <c r="AD89" i="1" s="1"/>
  <c r="AB89" i="1" s="1"/>
  <c r="Z89" i="1" s="1"/>
  <c r="AF88" i="1"/>
  <c r="AD88" i="1" s="1"/>
  <c r="AB88" i="1" s="1"/>
  <c r="Z88" i="1" s="1"/>
  <c r="AF94" i="1"/>
  <c r="AD94" i="1" s="1"/>
  <c r="AB94" i="1" s="1"/>
  <c r="Z94" i="1" s="1"/>
  <c r="AF93" i="1"/>
  <c r="AD93" i="1" s="1"/>
  <c r="AB93" i="1" s="1"/>
  <c r="Z93" i="1" s="1"/>
  <c r="AF92" i="1"/>
  <c r="AD92" i="1" s="1"/>
  <c r="AB92" i="1" s="1"/>
  <c r="Z92" i="1" s="1"/>
  <c r="AF91" i="1"/>
  <c r="AD91" i="1" s="1"/>
  <c r="AB91" i="1" s="1"/>
  <c r="Z91" i="1" s="1"/>
  <c r="AF90" i="1"/>
  <c r="AD90" i="1" s="1"/>
  <c r="AB90" i="1" s="1"/>
  <c r="Z90" i="1" s="1"/>
  <c r="AF87" i="1"/>
  <c r="AD87" i="1" s="1"/>
  <c r="AB87" i="1" s="1"/>
  <c r="Z87" i="1" s="1"/>
  <c r="E95" i="1"/>
  <c r="V95" i="1"/>
  <c r="T95" i="1" s="1"/>
  <c r="R95" i="1" s="1"/>
  <c r="E94" i="1"/>
  <c r="V94" i="1"/>
  <c r="T94" i="1" s="1"/>
  <c r="E93" i="1"/>
  <c r="V93" i="1"/>
  <c r="T93" i="1" s="1"/>
  <c r="E92" i="1"/>
  <c r="V92" i="1"/>
  <c r="T92" i="1" s="1"/>
  <c r="R92" i="1" s="1"/>
  <c r="E91" i="1"/>
  <c r="V91" i="1"/>
  <c r="T91" i="1" s="1"/>
  <c r="E90" i="1"/>
  <c r="V90" i="1"/>
  <c r="T90" i="1" s="1"/>
  <c r="E89" i="1"/>
  <c r="V89" i="1"/>
  <c r="T89" i="1" s="1"/>
  <c r="E88" i="1"/>
  <c r="V88" i="1"/>
  <c r="E87" i="1"/>
  <c r="V87" i="1"/>
  <c r="T87" i="1" s="1"/>
  <c r="T88" i="1"/>
  <c r="R88" i="1" s="1"/>
  <c r="AF22" i="1"/>
  <c r="AF24" i="1"/>
  <c r="AF26" i="1"/>
  <c r="AF28" i="1"/>
  <c r="AF30" i="1"/>
  <c r="AF32" i="1"/>
  <c r="AF34" i="1"/>
  <c r="AF36" i="1"/>
  <c r="AF38" i="1"/>
  <c r="AB36" i="1"/>
  <c r="T36" i="1"/>
  <c r="AB22" i="1"/>
  <c r="AB38" i="1"/>
  <c r="T22" i="1"/>
  <c r="T38" i="1"/>
  <c r="AB24" i="1"/>
  <c r="T24" i="1"/>
  <c r="AB26" i="1"/>
  <c r="T26" i="1"/>
  <c r="AB28" i="1"/>
  <c r="T28" i="1"/>
  <c r="AB30" i="1"/>
  <c r="T30" i="1"/>
  <c r="AB32" i="1"/>
  <c r="T32" i="1"/>
  <c r="AB34" i="1"/>
  <c r="T34" i="1"/>
  <c r="V22" i="1"/>
  <c r="V24" i="1"/>
  <c r="V26" i="1"/>
  <c r="V28" i="1"/>
  <c r="V30" i="1"/>
  <c r="V32" i="1"/>
  <c r="V34" i="1"/>
  <c r="V36" i="1"/>
  <c r="V38" i="1"/>
  <c r="J11" i="1"/>
  <c r="N11" i="1"/>
  <c r="N36" i="1" s="1"/>
  <c r="L11" i="1"/>
  <c r="R11" i="1"/>
  <c r="AO12" i="1"/>
  <c r="Z11" i="1"/>
  <c r="T11" i="1"/>
  <c r="V11" i="1"/>
  <c r="R90" i="1" l="1"/>
  <c r="X90" i="1" s="1"/>
  <c r="R89" i="1"/>
  <c r="X89" i="1" s="1"/>
  <c r="R93" i="1"/>
  <c r="X93" i="1" s="1"/>
  <c r="R94" i="1"/>
  <c r="X94" i="1" s="1"/>
  <c r="R87" i="1"/>
  <c r="R91" i="1"/>
  <c r="X91" i="1" s="1"/>
  <c r="V39" i="1"/>
  <c r="X88" i="1"/>
  <c r="X92" i="1"/>
  <c r="N26" i="1"/>
  <c r="N30" i="1"/>
  <c r="N38" i="1"/>
  <c r="N28" i="1"/>
  <c r="L36" i="1"/>
  <c r="L32" i="1"/>
  <c r="L28" i="1"/>
  <c r="L34" i="1"/>
  <c r="L30" i="1"/>
  <c r="L26" i="1"/>
  <c r="L38" i="1"/>
  <c r="AH84" i="1"/>
  <c r="AH86" i="1"/>
  <c r="AH85" i="1"/>
  <c r="X85" i="1"/>
  <c r="X84" i="1"/>
  <c r="X95" i="1"/>
  <c r="X86" i="1"/>
  <c r="J16" i="1"/>
  <c r="J18" i="1"/>
  <c r="P18" i="1" s="1"/>
  <c r="J34" i="1"/>
  <c r="J20" i="1"/>
  <c r="P20" i="1" s="1"/>
  <c r="J36" i="1"/>
  <c r="J26" i="1"/>
  <c r="J38" i="1"/>
  <c r="J24" i="1"/>
  <c r="P24" i="1" s="1"/>
  <c r="J32" i="1"/>
  <c r="J28" i="1"/>
  <c r="J30" i="1"/>
  <c r="Z20" i="1"/>
  <c r="AH20" i="1" s="1"/>
  <c r="Z18" i="1"/>
  <c r="AH18" i="1" s="1"/>
  <c r="Z16" i="1"/>
  <c r="R20" i="1"/>
  <c r="X20" i="1" s="1"/>
  <c r="R24" i="1"/>
  <c r="R36" i="1"/>
  <c r="R32" i="1"/>
  <c r="R16" i="1"/>
  <c r="X16" i="1" s="1"/>
  <c r="R26" i="1"/>
  <c r="R34" i="1"/>
  <c r="R30" i="1"/>
  <c r="R28" i="1"/>
  <c r="R18" i="1"/>
  <c r="X18" i="1" s="1"/>
  <c r="R38" i="1"/>
  <c r="AH88" i="1" l="1"/>
  <c r="AH92" i="1"/>
  <c r="AH91" i="1"/>
  <c r="AH24" i="1"/>
  <c r="X24" i="1"/>
  <c r="X34" i="1"/>
  <c r="X30" i="1"/>
  <c r="X38" i="1"/>
  <c r="P28" i="1"/>
  <c r="AH34" i="1"/>
  <c r="AH93" i="1"/>
  <c r="AH90" i="1"/>
  <c r="X87" i="1"/>
  <c r="AH87" i="1"/>
  <c r="AH95" i="1"/>
  <c r="X32" i="1"/>
  <c r="AH94" i="1"/>
  <c r="AH89" i="1"/>
  <c r="AH38" i="1"/>
  <c r="X28" i="1"/>
  <c r="AH26" i="1"/>
  <c r="P32" i="1"/>
  <c r="P36" i="1"/>
  <c r="P34" i="1"/>
  <c r="T39" i="1"/>
  <c r="N39" i="1"/>
  <c r="AF39" i="1"/>
  <c r="AD39" i="1"/>
  <c r="L39" i="1"/>
  <c r="X36" i="1"/>
  <c r="P38" i="1"/>
  <c r="X26" i="1"/>
  <c r="P30" i="1"/>
  <c r="AB39" i="1"/>
  <c r="AH28" i="1"/>
  <c r="AH36" i="1"/>
  <c r="P26" i="1"/>
  <c r="AH32" i="1"/>
  <c r="AH30" i="1"/>
  <c r="P22" i="1"/>
  <c r="J39" i="1"/>
  <c r="P16" i="1"/>
  <c r="AH16" i="1"/>
  <c r="Z39" i="1"/>
  <c r="AH22" i="1"/>
  <c r="X22" i="1"/>
  <c r="R39" i="1"/>
  <c r="X39" i="1" l="1"/>
  <c r="P39" i="1"/>
  <c r="AH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<sst xmlns="http://schemas.openxmlformats.org/spreadsheetml/2006/main" count="291" uniqueCount="61">
  <si>
    <t>Rate Class</t>
  </si>
  <si>
    <t>Service Jurisdiction</t>
  </si>
  <si>
    <t>Irrigation (potable)</t>
  </si>
  <si>
    <t>Water (potable)</t>
  </si>
  <si>
    <t>Commercial</t>
  </si>
  <si>
    <t>Industrial</t>
  </si>
  <si>
    <t>TUSD</t>
  </si>
  <si>
    <t>City of Tucson</t>
  </si>
  <si>
    <t>Marana</t>
  </si>
  <si>
    <t>Oro Valley</t>
  </si>
  <si>
    <t>South Tucson</t>
  </si>
  <si>
    <t>Unincorporated Pima County</t>
  </si>
  <si>
    <t>December</t>
  </si>
  <si>
    <t>January</t>
  </si>
  <si>
    <t>February</t>
  </si>
  <si>
    <t xml:space="preserve">March 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</si>
  <si>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</si>
  <si>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</si>
  <si>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</si>
  <si>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</si>
  <si>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</si>
  <si>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</si>
  <si>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</si>
  <si>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</si>
  <si>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Charges Option 1A</t>
  </si>
  <si>
    <t>Base</t>
  </si>
  <si>
    <t>Surcharge 1</t>
  </si>
  <si>
    <t>Surcharge 2</t>
  </si>
  <si>
    <t>Total</t>
  </si>
  <si>
    <t>Charges Option 1B</t>
  </si>
  <si>
    <t>Service</t>
  </si>
  <si>
    <t>Jurisdiction</t>
  </si>
  <si>
    <t>Component</t>
  </si>
  <si>
    <t>Rate</t>
  </si>
  <si>
    <t>SUR1</t>
  </si>
  <si>
    <t>SUR2</t>
  </si>
  <si>
    <t>Option</t>
  </si>
  <si>
    <t>1A</t>
  </si>
  <si>
    <t>1B</t>
  </si>
  <si>
    <t>SUR3</t>
  </si>
  <si>
    <t>Non Differential</t>
  </si>
  <si>
    <t>Differential</t>
  </si>
  <si>
    <t>Service Jurisdiction Recode:</t>
  </si>
  <si>
    <t>Concatenate for VLOOKUP:</t>
  </si>
  <si>
    <t>Concatenate</t>
  </si>
  <si>
    <t>BASE</t>
  </si>
  <si>
    <t>Surcharge 3</t>
  </si>
  <si>
    <t>Current Winter Months</t>
  </si>
  <si>
    <t>Current Summer Months</t>
  </si>
  <si>
    <t>New Winter</t>
  </si>
  <si>
    <t>New Summer Months</t>
  </si>
  <si>
    <t>Current Charges</t>
  </si>
  <si>
    <t xml:space="preserve">Current Winter Average: </t>
  </si>
  <si>
    <t xml:space="preserve">New Winter Average: </t>
  </si>
  <si>
    <t>Consumption (Ccfs)</t>
  </si>
  <si>
    <t>Current</t>
  </si>
  <si>
    <t>March</t>
  </si>
  <si>
    <t>Current Average</t>
  </si>
  <si>
    <t>1A and 1B Average</t>
  </si>
  <si>
    <t>Modeling Rate Block Changes Based on Monthly Consumption for Commercial and Industrial Rate Change Proposals</t>
  </si>
  <si>
    <r>
      <t xml:space="preserve">All calculations of charges are estimates and are based only on vulmetric water charges.  The amounts do </t>
    </r>
    <r>
      <rPr>
        <u val="singleAccounting"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include the monthly service fee, CAP surcharge, Conservation Fee, or Green Stormwater Fee.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</si>
</sst>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44" fontId="0" fillId="0" borderId="0" xfId="2" applyFont="1"/>
    <xf numFmtId="0" fontId="3" fillId="0" borderId="0" xfId="0" applyFont="1" applyAlignment="1">
      <alignment horizontal="center"/>
    </xf>
    <xf numFmtId="0" fontId="0" fillId="0" borderId="1" xfId="0" applyBorder="1"/>
    <xf numFmtId="44" fontId="0" fillId="0" borderId="1" xfId="2" applyFont="1" applyBorder="1"/>
    <xf numFmtId="0" fontId="0" fillId="0" borderId="0" xfId="0" applyProtection="1">
      <protection locked="0"/>
    </xf>
    <xf numFmtId="0" fontId="0" fillId="4" borderId="0" xfId="0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2" borderId="0" xfId="0" applyFill="1"/>
    <xf numFmtId="44" fontId="0" fillId="2" borderId="0" xfId="2" applyFont="1" applyFill="1" applyProtection="1"/>
    <xf numFmtId="0" fontId="0" fillId="2" borderId="0" xfId="0" applyFill="1" applyAlignment="1">
      <alignment horizontal="center"/>
    </xf>
    <xf numFmtId="44" fontId="0" fillId="2" borderId="0" xfId="2" applyFont="1" applyFill="1" applyAlignment="1" applyProtection="1">
      <alignment horizontal="center"/>
    </xf>
    <xf numFmtId="0" fontId="0" fillId="2" borderId="6" xfId="0" applyFill="1" applyBorder="1"/>
    <xf numFmtId="0" fontId="0" fillId="2" borderId="7" xfId="0" applyFill="1" applyBorder="1"/>
    <xf numFmtId="0" fontId="4" fillId="2" borderId="0" xfId="0" applyFont="1" applyFill="1"/>
    <xf numFmtId="0" fontId="0" fillId="2" borderId="2" xfId="0" applyFill="1" applyBorder="1"/>
    <xf numFmtId="0" fontId="0" fillId="2" borderId="0" xfId="0" applyFill="1" applyAlignment="1">
      <alignment horizontal="center" vertical="center" textRotation="90"/>
    </xf>
    <xf numFmtId="44" fontId="0" fillId="3" borderId="0" xfId="2" applyFont="1" applyFill="1" applyProtection="1"/>
    <xf numFmtId="44" fontId="0" fillId="2" borderId="0" xfId="0" applyNumberFormat="1" applyFill="1"/>
    <xf numFmtId="0" fontId="4" fillId="2" borderId="0" xfId="0" applyFont="1" applyFill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5" fillId="2" borderId="0" xfId="0" applyFont="1" applyFill="1"/>
    <xf numFmtId="44" fontId="0" fillId="2" borderId="0" xfId="2" applyFont="1" applyFill="1" applyAlignment="1" applyProtection="1">
      <alignment horizontal="right"/>
    </xf>
    <xf numFmtId="0" fontId="5" fillId="2" borderId="0" xfId="0" applyFont="1" applyFill="1" applyAlignment="1">
      <alignment horizontal="center"/>
    </xf>
    <xf numFmtId="0" fontId="0" fillId="2" borderId="8" xfId="0" applyFill="1" applyBorder="1"/>
    <xf numFmtId="44" fontId="0" fillId="2" borderId="1" xfId="2" applyFont="1" applyFill="1" applyBorder="1" applyProtection="1"/>
    <xf numFmtId="44" fontId="0" fillId="2" borderId="1" xfId="2" applyFont="1" applyFill="1" applyBorder="1" applyAlignment="1" applyProtection="1">
      <alignment horizontal="right"/>
    </xf>
    <xf numFmtId="44" fontId="0" fillId="2" borderId="0" xfId="2" applyFont="1" applyFill="1" applyBorder="1" applyProtection="1"/>
    <xf numFmtId="0" fontId="0" fillId="2" borderId="0" xfId="0" applyFill="1" applyAlignment="1">
      <alignment horizontal="right"/>
    </xf>
    <xf numFmtId="44" fontId="0" fillId="5" borderId="0" xfId="2" applyFont="1" applyFill="1" applyProtection="1"/>
    <xf numFmtId="44" fontId="0" fillId="5" borderId="0" xfId="0" applyNumberFormat="1" applyFill="1"/>
    <xf numFmtId="0" fontId="2" fillId="2" borderId="5" xfId="0" applyFont="1" applyFill="1" applyBorder="1" applyAlignment="1">
      <alignment horizontal="center"/>
    </xf>
    <xf numFmtId="164" fontId="0" fillId="2" borderId="0" xfId="1" applyNumberFormat="1" applyFont="1" applyFill="1" applyAlignment="1" applyProtection="1">
      <alignment horizontal="right"/>
    </xf>
    <xf numFmtId="164" fontId="0" fillId="3" borderId="0" xfId="1" applyNumberFormat="1" applyFont="1" applyFill="1" applyAlignment="1" applyProtection="1">
      <alignment horizontal="right"/>
    </xf>
    <xf numFmtId="164" fontId="0" fillId="2" borderId="0" xfId="1" applyNumberFormat="1" applyFont="1" applyFill="1" applyProtection="1"/>
    <xf numFmtId="43" fontId="0" fillId="2" borderId="0" xfId="1" applyFont="1" applyFill="1" applyBorder="1" applyProtection="1"/>
    <xf numFmtId="164" fontId="0" fillId="3" borderId="0" xfId="1" applyNumberFormat="1" applyFont="1" applyFill="1" applyProtection="1"/>
    <xf numFmtId="164" fontId="0" fillId="2" borderId="0" xfId="1" applyNumberFormat="1" applyFont="1" applyFill="1" applyBorder="1" applyProtection="1"/>
    <xf numFmtId="44" fontId="7" fillId="2" borderId="0" xfId="2" applyFont="1" applyFill="1" applyAlignment="1" applyProtection="1">
      <alignment horizont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 textRotation="90"/>
    </xf>
    <xf numFmtId="0" fontId="0" fillId="2" borderId="7" xfId="0" applyFill="1" applyBorder="1" applyAlignment="1">
      <alignment horizontal="center" vertical="center" textRotation="90"/>
    </xf>
    <xf numFmtId="44" fontId="0" fillId="2" borderId="0" xfId="2" applyFont="1" applyFill="1" applyAlignment="1" applyProtection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Current:</a:t>
            </a:r>
            <a:r>
              <a:rPr lang="en-US" baseline="0"/>
              <a:t>  </a:t>
            </a:r>
            <a:r>
              <a:rPr lang="en-US"/>
              <a:t>Consumption by Rate</a:t>
            </a:r>
            <a:r>
              <a:rPr lang="en-US" baseline="0"/>
              <a:t> Block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v>Base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Sheet1!$G$84:$G$95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Sheet1!$J$84:$J$95</c:f>
              <c:numCache>
                <c:formatCode>_(* #,##0_);_(* \(#,##0\);_(* "-"??_);_(@_)</c:formatCode>
                <c:ptCount val="12"/>
                <c:pt idx="0">
                  <c:v>125</c:v>
                </c:pt>
                <c:pt idx="1">
                  <c:v>130</c:v>
                </c:pt>
                <c:pt idx="2">
                  <c:v>140</c:v>
                </c:pt>
                <c:pt idx="3">
                  <c:v>264</c:v>
                </c:pt>
                <c:pt idx="4">
                  <c:v>156</c:v>
                </c:pt>
                <c:pt idx="5">
                  <c:v>161</c:v>
                </c:pt>
                <c:pt idx="6">
                  <c:v>161</c:v>
                </c:pt>
                <c:pt idx="7">
                  <c:v>161</c:v>
                </c:pt>
                <c:pt idx="8">
                  <c:v>160.99999999999994</c:v>
                </c:pt>
                <c:pt idx="9">
                  <c:v>161</c:v>
                </c:pt>
                <c:pt idx="10">
                  <c:v>161</c:v>
                </c:pt>
                <c:pt idx="11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62-42AF-8362-74535CE567EE}"/>
            </c:ext>
          </c:extLst>
        </c:ser>
        <c:ser>
          <c:idx val="2"/>
          <c:order val="2"/>
          <c:tx>
            <c:v>Surcharge 1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Sheet1!$G$84:$G$95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Sheet1!$L$84:$L$95</c:f>
              <c:numCache>
                <c:formatCode>_(* #,##0_);_(* \(#,##0\);_(* "-"??_);_(@_)</c:formatCode>
                <c:ptCount val="12"/>
                <c:pt idx="5">
                  <c:v>72.449999999999989</c:v>
                </c:pt>
                <c:pt idx="6">
                  <c:v>72.449999999999989</c:v>
                </c:pt>
                <c:pt idx="7">
                  <c:v>72.449999999999989</c:v>
                </c:pt>
                <c:pt idx="8">
                  <c:v>72.449999999999989</c:v>
                </c:pt>
                <c:pt idx="9">
                  <c:v>72.449999999999989</c:v>
                </c:pt>
                <c:pt idx="10">
                  <c:v>72.449999999999989</c:v>
                </c:pt>
                <c:pt idx="11">
                  <c:v>72.449999999999989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62-42AF-8362-74535CE567EE}"/>
            </c:ext>
          </c:extLst>
        </c:ser>
        <c:ser>
          <c:idx val="3"/>
          <c:order val="3"/>
          <c:tx>
            <c:v>Surcharge 2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Sheet1!$G$84:$G$95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Sheet1!$N$84:$N$95</c:f>
              <c:numCache>
                <c:formatCode>_(* #,##0_);_(* \(#,##0\);_(* "-"??_);_(@_)</c:formatCode>
                <c:ptCount val="12"/>
                <c:pt idx="5">
                  <c:v>326.55</c:v>
                </c:pt>
                <c:pt idx="6">
                  <c:v>168.55</c:v>
                </c:pt>
                <c:pt idx="7">
                  <c:v>240.55</c:v>
                </c:pt>
                <c:pt idx="8">
                  <c:v>367.55</c:v>
                </c:pt>
                <c:pt idx="9">
                  <c:v>266.55</c:v>
                </c:pt>
                <c:pt idx="10">
                  <c:v>66.550000000000011</c:v>
                </c:pt>
                <c:pt idx="11">
                  <c:v>66.550000000000011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62-42AF-8362-74535CE56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0770383"/>
        <c:axId val="2526955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Sheet1!$G$84:$G$95</c15:sqref>
                        </c15:formulaRef>
                      </c:ext>
                    </c:extLst>
                    <c:strCache>
                      <c:ptCount val="12"/>
                      <c:pt idx="0">
                        <c:v>December</c:v>
                      </c:pt>
                      <c:pt idx="1">
                        <c:v>January</c:v>
                      </c:pt>
                      <c:pt idx="2">
                        <c:v>February</c:v>
                      </c:pt>
                      <c:pt idx="3">
                        <c:v>March</c:v>
                      </c:pt>
                      <c:pt idx="4">
                        <c:v>April</c:v>
                      </c:pt>
                      <c:pt idx="5">
                        <c:v>May</c:v>
                      </c:pt>
                      <c:pt idx="6">
                        <c:v>June</c:v>
                      </c:pt>
                      <c:pt idx="7">
                        <c:v>July</c:v>
                      </c:pt>
                      <c:pt idx="8">
                        <c:v>August</c:v>
                      </c:pt>
                      <c:pt idx="9">
                        <c:v>September</c:v>
                      </c:pt>
                      <c:pt idx="10">
                        <c:v>October</c:v>
                      </c:pt>
                      <c:pt idx="11">
                        <c:v>November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Sheet1!$E$14:$E$38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150</c:v>
                      </c:pt>
                      <c:pt idx="2">
                        <c:v>125</c:v>
                      </c:pt>
                      <c:pt idx="4">
                        <c:v>130</c:v>
                      </c:pt>
                      <c:pt idx="6">
                        <c:v>140</c:v>
                      </c:pt>
                      <c:pt idx="8">
                        <c:v>264</c:v>
                      </c:pt>
                      <c:pt idx="10">
                        <c:v>156</c:v>
                      </c:pt>
                      <c:pt idx="12">
                        <c:v>560</c:v>
                      </c:pt>
                      <c:pt idx="14">
                        <c:v>402</c:v>
                      </c:pt>
                      <c:pt idx="16">
                        <c:v>474</c:v>
                      </c:pt>
                      <c:pt idx="18">
                        <c:v>601</c:v>
                      </c:pt>
                      <c:pt idx="20">
                        <c:v>500</c:v>
                      </c:pt>
                      <c:pt idx="22">
                        <c:v>300</c:v>
                      </c:pt>
                      <c:pt idx="24">
                        <c:v>300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462-42AF-8362-74535CE567EE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v>WAC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Sheet1!$D$84:$D$95</c:f>
              <c:numCache>
                <c:formatCode>General</c:formatCode>
                <c:ptCount val="12"/>
                <c:pt idx="5">
                  <c:v>161</c:v>
                </c:pt>
                <c:pt idx="6">
                  <c:v>161</c:v>
                </c:pt>
                <c:pt idx="7">
                  <c:v>161</c:v>
                </c:pt>
                <c:pt idx="8">
                  <c:v>161</c:v>
                </c:pt>
                <c:pt idx="9">
                  <c:v>161</c:v>
                </c:pt>
                <c:pt idx="10">
                  <c:v>161</c:v>
                </c:pt>
                <c:pt idx="11">
                  <c:v>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62-42AF-8362-74535CE56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770383"/>
        <c:axId val="25269551"/>
      </c:lineChart>
      <c:catAx>
        <c:axId val="680770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9551"/>
        <c:crosses val="autoZero"/>
        <c:auto val="1"/>
        <c:lblAlgn val="ctr"/>
        <c:lblOffset val="100"/>
        <c:noMultiLvlLbl val="0"/>
      </c:catAx>
      <c:valAx>
        <c:axId val="2526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770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Option 1A:</a:t>
            </a:r>
            <a:r>
              <a:rPr lang="en-US" baseline="0"/>
              <a:t> Consumption by Rate Block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v>Block 1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Sheet1!$G$84:$G$95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Sheet1!$R$84:$R$95</c:f>
              <c:numCache>
                <c:formatCode>_(* #,##0_);_(* \(#,##0\);_(* "-"??_);_(@_)</c:formatCode>
                <c:ptCount val="12"/>
                <c:pt idx="0">
                  <c:v>150</c:v>
                </c:pt>
                <c:pt idx="1">
                  <c:v>125</c:v>
                </c:pt>
                <c:pt idx="2">
                  <c:v>130</c:v>
                </c:pt>
                <c:pt idx="3">
                  <c:v>132</c:v>
                </c:pt>
                <c:pt idx="4">
                  <c:v>156</c:v>
                </c:pt>
                <c:pt idx="5">
                  <c:v>132</c:v>
                </c:pt>
                <c:pt idx="6">
                  <c:v>132.00000000000003</c:v>
                </c:pt>
                <c:pt idx="7">
                  <c:v>132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86-445E-8354-6D6146584488}"/>
            </c:ext>
          </c:extLst>
        </c:ser>
        <c:ser>
          <c:idx val="2"/>
          <c:order val="2"/>
          <c:tx>
            <c:v>Block 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Sheet1!$G$84:$G$95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Sheet1!$T$84:$T$95</c:f>
              <c:numCache>
                <c:formatCode>_(* #,##0_);_(* \(#,##0\);_(* "-"??_);_(@_)</c:formatCode>
                <c:ptCount val="12"/>
                <c:pt idx="3">
                  <c:v>59.400000000000006</c:v>
                </c:pt>
                <c:pt idx="4">
                  <c:v>0</c:v>
                </c:pt>
                <c:pt idx="5">
                  <c:v>59.399999999999977</c:v>
                </c:pt>
                <c:pt idx="6">
                  <c:v>59.400000000000006</c:v>
                </c:pt>
                <c:pt idx="7">
                  <c:v>59.399999999999977</c:v>
                </c:pt>
                <c:pt idx="8">
                  <c:v>59.399999999999977</c:v>
                </c:pt>
                <c:pt idx="9">
                  <c:v>59.399999999999977</c:v>
                </c:pt>
                <c:pt idx="10">
                  <c:v>59.400000000000006</c:v>
                </c:pt>
                <c:pt idx="11">
                  <c:v>59.400000000000006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86-445E-8354-6D6146584488}"/>
            </c:ext>
          </c:extLst>
        </c:ser>
        <c:ser>
          <c:idx val="3"/>
          <c:order val="3"/>
          <c:tx>
            <c:v>Block 3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Sheet1!$G$84:$G$95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Sheet1!$V$84:$V$95</c:f>
              <c:numCache>
                <c:formatCode>_(* #,##0_);_(* \(#,##0\);_(* "-"??_);_(@_)</c:formatCode>
                <c:ptCount val="12"/>
                <c:pt idx="3">
                  <c:v>72.599999999999994</c:v>
                </c:pt>
                <c:pt idx="4">
                  <c:v>0</c:v>
                </c:pt>
                <c:pt idx="5">
                  <c:v>368.6</c:v>
                </c:pt>
                <c:pt idx="6">
                  <c:v>210.6</c:v>
                </c:pt>
                <c:pt idx="7">
                  <c:v>282.60000000000002</c:v>
                </c:pt>
                <c:pt idx="8">
                  <c:v>409.6</c:v>
                </c:pt>
                <c:pt idx="9">
                  <c:v>308.60000000000002</c:v>
                </c:pt>
                <c:pt idx="10">
                  <c:v>108.6</c:v>
                </c:pt>
                <c:pt idx="11">
                  <c:v>108.6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86-445E-8354-6D6146584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0770383"/>
        <c:axId val="2526955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Sheet1!$G$84:$G$95</c15:sqref>
                        </c15:formulaRef>
                      </c:ext>
                    </c:extLst>
                    <c:strCache>
                      <c:ptCount val="12"/>
                      <c:pt idx="0">
                        <c:v>December</c:v>
                      </c:pt>
                      <c:pt idx="1">
                        <c:v>January</c:v>
                      </c:pt>
                      <c:pt idx="2">
                        <c:v>February</c:v>
                      </c:pt>
                      <c:pt idx="3">
                        <c:v>March</c:v>
                      </c:pt>
                      <c:pt idx="4">
                        <c:v>April</c:v>
                      </c:pt>
                      <c:pt idx="5">
                        <c:v>May</c:v>
                      </c:pt>
                      <c:pt idx="6">
                        <c:v>June</c:v>
                      </c:pt>
                      <c:pt idx="7">
                        <c:v>July</c:v>
                      </c:pt>
                      <c:pt idx="8">
                        <c:v>August</c:v>
                      </c:pt>
                      <c:pt idx="9">
                        <c:v>September</c:v>
                      </c:pt>
                      <c:pt idx="10">
                        <c:v>October</c:v>
                      </c:pt>
                      <c:pt idx="11">
                        <c:v>November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Sheet1!$E$14:$E$38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150</c:v>
                      </c:pt>
                      <c:pt idx="2">
                        <c:v>125</c:v>
                      </c:pt>
                      <c:pt idx="4">
                        <c:v>130</c:v>
                      </c:pt>
                      <c:pt idx="6">
                        <c:v>140</c:v>
                      </c:pt>
                      <c:pt idx="8">
                        <c:v>264</c:v>
                      </c:pt>
                      <c:pt idx="10">
                        <c:v>156</c:v>
                      </c:pt>
                      <c:pt idx="12">
                        <c:v>560</c:v>
                      </c:pt>
                      <c:pt idx="14">
                        <c:v>402</c:v>
                      </c:pt>
                      <c:pt idx="16">
                        <c:v>474</c:v>
                      </c:pt>
                      <c:pt idx="18">
                        <c:v>601</c:v>
                      </c:pt>
                      <c:pt idx="20">
                        <c:v>500</c:v>
                      </c:pt>
                      <c:pt idx="22">
                        <c:v>300</c:v>
                      </c:pt>
                      <c:pt idx="24">
                        <c:v>300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786-445E-8354-6D6146584488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v>WAC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Sheet1!$E$84:$E$95</c:f>
              <c:numCache>
                <c:formatCode>General</c:formatCode>
                <c:ptCount val="12"/>
                <c:pt idx="3">
                  <c:v>132</c:v>
                </c:pt>
                <c:pt idx="4">
                  <c:v>132</c:v>
                </c:pt>
                <c:pt idx="5">
                  <c:v>132</c:v>
                </c:pt>
                <c:pt idx="6">
                  <c:v>132</c:v>
                </c:pt>
                <c:pt idx="7">
                  <c:v>132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786-445E-8354-6D6146584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770383"/>
        <c:axId val="25269551"/>
      </c:lineChart>
      <c:catAx>
        <c:axId val="680770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9551"/>
        <c:crosses val="autoZero"/>
        <c:auto val="1"/>
        <c:lblAlgn val="ctr"/>
        <c:lblOffset val="100"/>
        <c:noMultiLvlLbl val="0"/>
      </c:catAx>
      <c:valAx>
        <c:axId val="2526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770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Option 1B:</a:t>
            </a:r>
            <a:r>
              <a:rPr lang="en-US" baseline="0"/>
              <a:t> Consumption by Rate Block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v>Block 1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Sheet1!$G$84:$H$95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Sheet1!$Z$84:$Z$95</c:f>
              <c:numCache>
                <c:formatCode>_(* #,##0_);_(* \(#,##0\);_(* "-"??_);_(@_)</c:formatCode>
                <c:ptCount val="12"/>
                <c:pt idx="0">
                  <c:v>150</c:v>
                </c:pt>
                <c:pt idx="1">
                  <c:v>125</c:v>
                </c:pt>
                <c:pt idx="2">
                  <c:v>130</c:v>
                </c:pt>
                <c:pt idx="3">
                  <c:v>132</c:v>
                </c:pt>
                <c:pt idx="4">
                  <c:v>132</c:v>
                </c:pt>
                <c:pt idx="5">
                  <c:v>132</c:v>
                </c:pt>
                <c:pt idx="6">
                  <c:v>132.00000000000003</c:v>
                </c:pt>
                <c:pt idx="7">
                  <c:v>132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F7-45F7-8BEC-8F6EB683A6A5}"/>
            </c:ext>
          </c:extLst>
        </c:ser>
        <c:ser>
          <c:idx val="2"/>
          <c:order val="2"/>
          <c:tx>
            <c:v>Block 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Sheet1!$G$84:$H$95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Sheet1!$AB$84:$AB$95</c:f>
              <c:numCache>
                <c:formatCode>_(* #,##0_);_(* \(#,##0\);_(* "-"??_);_(@_)</c:formatCode>
                <c:ptCount val="12"/>
                <c:pt idx="3">
                  <c:v>59.400000000000006</c:v>
                </c:pt>
                <c:pt idx="4">
                  <c:v>24</c:v>
                </c:pt>
                <c:pt idx="5">
                  <c:v>59.399999999999977</c:v>
                </c:pt>
                <c:pt idx="6">
                  <c:v>59.400000000000006</c:v>
                </c:pt>
                <c:pt idx="7">
                  <c:v>59.399999999999977</c:v>
                </c:pt>
                <c:pt idx="8">
                  <c:v>59.399999999999977</c:v>
                </c:pt>
                <c:pt idx="9">
                  <c:v>59.399999999999977</c:v>
                </c:pt>
                <c:pt idx="10">
                  <c:v>59.400000000000006</c:v>
                </c:pt>
                <c:pt idx="11">
                  <c:v>59.400000000000006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F7-45F7-8BEC-8F6EB683A6A5}"/>
            </c:ext>
          </c:extLst>
        </c:ser>
        <c:ser>
          <c:idx val="3"/>
          <c:order val="3"/>
          <c:tx>
            <c:v>Block 3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Sheet1!$G$84:$H$95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Sheet1!$AD$84:$AD$95</c:f>
              <c:numCache>
                <c:formatCode>_(* #,##0_);_(* \(#,##0\);_(* "-"??_);_(@_)</c:formatCode>
                <c:ptCount val="12"/>
                <c:pt idx="3">
                  <c:v>72.599999999999994</c:v>
                </c:pt>
                <c:pt idx="4">
                  <c:v>0</c:v>
                </c:pt>
                <c:pt idx="5">
                  <c:v>92.400000000000034</c:v>
                </c:pt>
                <c:pt idx="6">
                  <c:v>92.4</c:v>
                </c:pt>
                <c:pt idx="7">
                  <c:v>92.400000000000034</c:v>
                </c:pt>
                <c:pt idx="8">
                  <c:v>92.400000000000034</c:v>
                </c:pt>
                <c:pt idx="9">
                  <c:v>92.400000000000034</c:v>
                </c:pt>
                <c:pt idx="10">
                  <c:v>92.4</c:v>
                </c:pt>
                <c:pt idx="11">
                  <c:v>92.4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F7-45F7-8BEC-8F6EB683A6A5}"/>
            </c:ext>
          </c:extLst>
        </c:ser>
        <c:ser>
          <c:idx val="4"/>
          <c:order val="4"/>
          <c:tx>
            <c:v>Block 4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Sheet1!$G$84:$H$95</c:f>
              <c:strCache>
                <c:ptCount val="12"/>
                <c:pt idx="0">
                  <c:v>December</c:v>
                </c:pt>
                <c:pt idx="1">
                  <c:v>January</c:v>
                </c:pt>
                <c:pt idx="2">
                  <c:v>February</c:v>
                </c:pt>
                <c:pt idx="3">
                  <c:v>March</c:v>
                </c:pt>
                <c:pt idx="4">
                  <c:v>April</c:v>
                </c:pt>
                <c:pt idx="5">
                  <c:v>May</c:v>
                </c:pt>
                <c:pt idx="6">
                  <c:v>June</c:v>
                </c:pt>
                <c:pt idx="7">
                  <c:v>July</c:v>
                </c:pt>
                <c:pt idx="8">
                  <c:v>August</c:v>
                </c:pt>
                <c:pt idx="9">
                  <c:v>September</c:v>
                </c:pt>
                <c:pt idx="10">
                  <c:v>October</c:v>
                </c:pt>
                <c:pt idx="11">
                  <c:v>November</c:v>
                </c:pt>
              </c:strCache>
            </c:strRef>
          </c:cat>
          <c:val>
            <c:numRef>
              <c:f>Sheet1!$AF$84:$AF$95</c:f>
              <c:numCache>
                <c:formatCode>_(* #,##0_);_(* \(#,##0\);_(* "-"??_);_(@_)</c:formatCode>
                <c:ptCount val="12"/>
                <c:pt idx="3">
                  <c:v>0</c:v>
                </c:pt>
                <c:pt idx="4">
                  <c:v>0</c:v>
                </c:pt>
                <c:pt idx="5">
                  <c:v>276.2</c:v>
                </c:pt>
                <c:pt idx="6">
                  <c:v>118.19999999999999</c:v>
                </c:pt>
                <c:pt idx="7">
                  <c:v>190.2</c:v>
                </c:pt>
                <c:pt idx="8">
                  <c:v>317.2</c:v>
                </c:pt>
                <c:pt idx="9">
                  <c:v>216.2</c:v>
                </c:pt>
                <c:pt idx="10">
                  <c:v>16.199999999999989</c:v>
                </c:pt>
                <c:pt idx="11">
                  <c:v>16.199999999999989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F7-45F7-8BEC-8F6EB683A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0770383"/>
        <c:axId val="2526955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Sheet1!$G$84:$H$95</c15:sqref>
                        </c15:formulaRef>
                      </c:ext>
                    </c:extLst>
                    <c:strCache>
                      <c:ptCount val="12"/>
                      <c:pt idx="0">
                        <c:v>December</c:v>
                      </c:pt>
                      <c:pt idx="1">
                        <c:v>January</c:v>
                      </c:pt>
                      <c:pt idx="2">
                        <c:v>February</c:v>
                      </c:pt>
                      <c:pt idx="3">
                        <c:v>March</c:v>
                      </c:pt>
                      <c:pt idx="4">
                        <c:v>April</c:v>
                      </c:pt>
                      <c:pt idx="5">
                        <c:v>May</c:v>
                      </c:pt>
                      <c:pt idx="6">
                        <c:v>June</c:v>
                      </c:pt>
                      <c:pt idx="7">
                        <c:v>July</c:v>
                      </c:pt>
                      <c:pt idx="8">
                        <c:v>August</c:v>
                      </c:pt>
                      <c:pt idx="9">
                        <c:v>September</c:v>
                      </c:pt>
                      <c:pt idx="10">
                        <c:v>October</c:v>
                      </c:pt>
                      <c:pt idx="11">
                        <c:v>November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Sheet1!$E$14:$E$38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150</c:v>
                      </c:pt>
                      <c:pt idx="2">
                        <c:v>125</c:v>
                      </c:pt>
                      <c:pt idx="4">
                        <c:v>130</c:v>
                      </c:pt>
                      <c:pt idx="6">
                        <c:v>140</c:v>
                      </c:pt>
                      <c:pt idx="8">
                        <c:v>264</c:v>
                      </c:pt>
                      <c:pt idx="10">
                        <c:v>156</c:v>
                      </c:pt>
                      <c:pt idx="12">
                        <c:v>560</c:v>
                      </c:pt>
                      <c:pt idx="14">
                        <c:v>402</c:v>
                      </c:pt>
                      <c:pt idx="16">
                        <c:v>474</c:v>
                      </c:pt>
                      <c:pt idx="18">
                        <c:v>601</c:v>
                      </c:pt>
                      <c:pt idx="20">
                        <c:v>500</c:v>
                      </c:pt>
                      <c:pt idx="22">
                        <c:v>300</c:v>
                      </c:pt>
                      <c:pt idx="24">
                        <c:v>300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6F7-45F7-8BEC-8F6EB683A6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5"/>
          <c:order val="5"/>
          <c:tx>
            <c:v>Winter Average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Sheet1!$E$84:$E$95</c:f>
              <c:numCache>
                <c:formatCode>General</c:formatCode>
                <c:ptCount val="12"/>
                <c:pt idx="3">
                  <c:v>132</c:v>
                </c:pt>
                <c:pt idx="4">
                  <c:v>132</c:v>
                </c:pt>
                <c:pt idx="5">
                  <c:v>132</c:v>
                </c:pt>
                <c:pt idx="6">
                  <c:v>132</c:v>
                </c:pt>
                <c:pt idx="7">
                  <c:v>132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F7-45F7-8BEC-8F6EB683A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770383"/>
        <c:axId val="25269551"/>
      </c:lineChart>
      <c:catAx>
        <c:axId val="680770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69551"/>
        <c:crosses val="autoZero"/>
        <c:auto val="1"/>
        <c:lblAlgn val="ctr"/>
        <c:lblOffset val="100"/>
        <c:noMultiLvlLbl val="0"/>
      </c:catAx>
      <c:valAx>
        <c:axId val="2526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770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</xdr:colOff>
      <xdr:row>39</xdr:row>
      <xdr:rowOff>133350</xdr:rowOff>
    </xdr:from>
    <xdr:to>
      <xdr:col>17</xdr:col>
      <xdr:colOff>453390</xdr:colOff>
      <xdr:row>57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D192BFE-B708-D220-BFB5-3C1D41F031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514350</xdr:colOff>
      <xdr:row>39</xdr:row>
      <xdr:rowOff>137159</xdr:rowOff>
    </xdr:from>
    <xdr:to>
      <xdr:col>28</xdr:col>
      <xdr:colOff>38100</xdr:colOff>
      <xdr:row>57</xdr:row>
      <xdr:rowOff>166686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D752BEF-1463-482D-8626-EA7B9FF43F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31432</xdr:colOff>
      <xdr:row>39</xdr:row>
      <xdr:rowOff>137159</xdr:rowOff>
    </xdr:from>
    <xdr:to>
      <xdr:col>45</xdr:col>
      <xdr:colOff>367188</xdr:colOff>
      <xdr:row>57</xdr:row>
      <xdr:rowOff>166686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D9D5F97-358E-4CEE-AF47-4717B9F06B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297657</xdr:colOff>
      <xdr:row>1</xdr:row>
      <xdr:rowOff>35718</xdr:rowOff>
    </xdr:from>
    <xdr:to>
      <xdr:col>7</xdr:col>
      <xdr:colOff>195080</xdr:colOff>
      <xdr:row>5</xdr:row>
      <xdr:rowOff>153352</xdr:rowOff>
    </xdr:to>
    <xdr:pic>
      <xdr:nvPicPr>
        <xdr:cNvPr id="5" name="Picture 4" descr="Logo, company name&#10;&#10;Description automatically generated">
          <a:extLst>
            <a:ext uri="{FF2B5EF4-FFF2-40B4-BE49-F238E27FC236}">
              <a16:creationId xmlns:a16="http://schemas.microsoft.com/office/drawing/2014/main" id="{73EEB056-06EA-4AD5-A4E5-BBFA92074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657" y="226218"/>
          <a:ext cx="3753619" cy="986790"/>
        </a:xfrm>
        <a:prstGeom prst="rect">
          <a:avLst/>
        </a:prstGeom>
        <a:effectLst>
          <a:outerShdw blurRad="50800" dist="38100" dir="16200000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240031</xdr:colOff>
      <xdr:row>43</xdr:row>
      <xdr:rowOff>53340</xdr:rowOff>
    </xdr:from>
    <xdr:to>
      <xdr:col>14</xdr:col>
      <xdr:colOff>307861</xdr:colOff>
      <xdr:row>62</xdr:row>
      <xdr:rowOff>87630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9F79FF-CD2F-A6F1-72AC-836A99FF0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1" y="8244840"/>
          <a:ext cx="4335030" cy="36537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A5E3B-8E28-4843-A4E9-264E002A177B}">
  <dimension ref="A3:AO96"/>
  <sheetViews>
    <sheetView tabSelected="1" zoomScale="80" zoomScaleNormal="80" workbookViewId="0">
      <selection activeCell="E38" sqref="E38"/>
    </sheetView>
  </sheetViews>
  <sheetFormatPr defaultRowHeight="15" x14ac:dyDescent="0.25"/>
  <cols>
    <col min="1" max="1" width="5.5703125" style="10" customWidth="1"/>
    <col min="2" max="2" width="1.85546875" style="10" customWidth="1"/>
    <col min="3" max="3" width="1" style="10" customWidth="1"/>
    <col min="4" max="4" width="17.42578125" style="10" customWidth="1"/>
    <col min="5" max="5" width="28.28515625" style="10" customWidth="1"/>
    <col min="6" max="6" width="1.42578125" style="10" customWidth="1"/>
    <col min="7" max="7" width="2.140625" style="10" customWidth="1"/>
    <col min="8" max="8" width="5.7109375" style="10" customWidth="1"/>
    <col min="9" max="9" width="2.140625" style="10" customWidth="1"/>
    <col min="10" max="10" width="12.140625" style="11" customWidth="1"/>
    <col min="11" max="11" width="1.42578125" style="10" customWidth="1"/>
    <col min="12" max="12" width="11.140625" style="10" bestFit="1" customWidth="1"/>
    <col min="13" max="13" width="1.140625" style="10" customWidth="1"/>
    <col min="14" max="14" width="11.140625" style="10" bestFit="1" customWidth="1"/>
    <col min="15" max="15" width="1.28515625" style="10" customWidth="1"/>
    <col min="16" max="16" width="12.85546875" style="10" customWidth="1"/>
    <col min="17" max="17" width="2.140625" style="10" customWidth="1"/>
    <col min="18" max="18" width="12" style="11" customWidth="1"/>
    <col min="19" max="19" width="1.42578125" style="10" customWidth="1"/>
    <col min="20" max="20" width="11.140625" style="10" bestFit="1" customWidth="1"/>
    <col min="21" max="21" width="1" style="10" customWidth="1"/>
    <col min="22" max="22" width="11.140625" style="10" bestFit="1" customWidth="1"/>
    <col min="23" max="23" width="1.28515625" style="10" customWidth="1"/>
    <col min="24" max="24" width="12.140625" style="10" customWidth="1"/>
    <col min="25" max="25" width="2.140625" style="10" customWidth="1"/>
    <col min="26" max="26" width="12.42578125" style="10" customWidth="1"/>
    <col min="27" max="27" width="1.5703125" style="10" customWidth="1"/>
    <col min="28" max="28" width="12" style="10" customWidth="1"/>
    <col min="29" max="29" width="0.85546875" style="10" customWidth="1"/>
    <col min="30" max="30" width="11.140625" style="10" bestFit="1" customWidth="1"/>
    <col min="31" max="31" width="0.85546875" style="10" customWidth="1"/>
    <col min="32" max="32" width="11.85546875" style="10" customWidth="1"/>
    <col min="33" max="33" width="1.42578125" style="10" customWidth="1"/>
    <col min="34" max="34" width="13.28515625" style="10" customWidth="1"/>
    <col min="35" max="36" width="9.140625" style="10"/>
    <col min="37" max="44" width="0" style="10" hidden="1" customWidth="1"/>
    <col min="45" max="16384" width="9.140625" style="10"/>
  </cols>
  <sheetData>
    <row r="3" spans="1:41" ht="23.25" x14ac:dyDescent="0.35">
      <c r="J3" s="41" t="s">
        <v>59</v>
      </c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</row>
    <row r="4" spans="1:41" ht="15" customHeight="1" x14ac:dyDescent="0.25">
      <c r="J4" s="46" t="s">
        <v>60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</row>
    <row r="5" spans="1:41" ht="15" customHeight="1" x14ac:dyDescent="0.25"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</row>
    <row r="6" spans="1:41" x14ac:dyDescent="0.25">
      <c r="J6" s="10"/>
      <c r="R6" s="10"/>
    </row>
    <row r="8" spans="1:41" x14ac:dyDescent="0.25">
      <c r="D8" s="10" t="s">
        <v>0</v>
      </c>
      <c r="E8" s="6" t="s">
        <v>4</v>
      </c>
    </row>
    <row r="9" spans="1:41" ht="6.75" customHeight="1" x14ac:dyDescent="0.25"/>
    <row r="10" spans="1:41" x14ac:dyDescent="0.25">
      <c r="D10" s="10" t="s">
        <v>1</v>
      </c>
      <c r="E10" s="6" t="s">
        <v>7</v>
      </c>
      <c r="AL10" s="10" t="s">
        <v>42</v>
      </c>
      <c r="AO10" s="10" t="str">
        <f>IF(E10="Unincorporated Pima County", "Differential","Non Differential")</f>
        <v>Non Differential</v>
      </c>
    </row>
    <row r="11" spans="1:41" hidden="1" x14ac:dyDescent="0.25">
      <c r="J11" s="11" t="str">
        <f>CONCATENATE(E8,AO10,"Current","BASE")</f>
        <v>CommercialNon DifferentialCurrentBASE</v>
      </c>
      <c r="L11" s="10" t="str">
        <f>CONCATENATE(E8,AO10,"Current","SUR1")</f>
        <v>CommercialNon DifferentialCurrentSUR1</v>
      </c>
      <c r="N11" s="10" t="str">
        <f>CONCATENATE(E8,AO10,"Current","SUR2")</f>
        <v>CommercialNon DifferentialCurrentSUR2</v>
      </c>
      <c r="R11" s="11" t="str">
        <f>CONCATENATE(E8,AO10,"1A","BASE")</f>
        <v>CommercialNon Differential1ABASE</v>
      </c>
      <c r="T11" s="10" t="str">
        <f>CONCATENATE(E8,AO10,"1A","SUR1")</f>
        <v>CommercialNon Differential1ASUR1</v>
      </c>
      <c r="V11" s="10" t="str">
        <f>CONCATENATE(E8,AO10,"1A","SUR2")</f>
        <v>CommercialNon Differential1ASUR2</v>
      </c>
      <c r="Z11" s="10" t="str">
        <f>CONCATENATE(E8,AO10,"1B","BASE")</f>
        <v>CommercialNon Differential1BBASE</v>
      </c>
      <c r="AB11" s="10" t="str">
        <f>CONCATENATE(E8,AO10,"1B","SUR1")</f>
        <v>CommercialNon Differential1BSUR1</v>
      </c>
      <c r="AD11" s="10" t="str">
        <f>CONCATENATE(E8,AO10,"1B","SUR2")</f>
        <v>CommercialNon Differential1BSUR2</v>
      </c>
      <c r="AF11" s="10" t="str">
        <f>CONCATENATE(E8,AO10,"1B","SUR3")</f>
        <v>CommercialNon Differential1BSUR3</v>
      </c>
    </row>
    <row r="12" spans="1:41" x14ac:dyDescent="0.25">
      <c r="J12" s="43" t="s">
        <v>51</v>
      </c>
      <c r="K12" s="43"/>
      <c r="L12" s="43"/>
      <c r="M12" s="43"/>
      <c r="N12" s="43"/>
      <c r="O12" s="43"/>
      <c r="P12" s="43"/>
      <c r="Q12" s="12"/>
      <c r="R12" s="43" t="s">
        <v>24</v>
      </c>
      <c r="S12" s="43"/>
      <c r="T12" s="43"/>
      <c r="U12" s="43"/>
      <c r="V12" s="43"/>
      <c r="W12" s="43"/>
      <c r="X12" s="43"/>
      <c r="Z12" s="43" t="s">
        <v>29</v>
      </c>
      <c r="AA12" s="43"/>
      <c r="AB12" s="43"/>
      <c r="AC12" s="43"/>
      <c r="AD12" s="43"/>
      <c r="AE12" s="43"/>
      <c r="AF12" s="43"/>
      <c r="AG12" s="43"/>
      <c r="AH12" s="43"/>
      <c r="AL12" s="10" t="s">
        <v>43</v>
      </c>
      <c r="AO12" s="10" t="str">
        <f>CONCATENATE(E8,AO10)</f>
        <v>CommercialNon Differential</v>
      </c>
    </row>
    <row r="13" spans="1:41" x14ac:dyDescent="0.25">
      <c r="E13" s="12" t="s">
        <v>54</v>
      </c>
      <c r="J13" s="13" t="s">
        <v>25</v>
      </c>
      <c r="L13" s="10" t="s">
        <v>26</v>
      </c>
      <c r="N13" s="10" t="s">
        <v>27</v>
      </c>
      <c r="P13" s="12" t="s">
        <v>28</v>
      </c>
      <c r="Q13" s="12"/>
      <c r="R13" s="13" t="s">
        <v>25</v>
      </c>
      <c r="S13" s="12"/>
      <c r="T13" s="12" t="s">
        <v>26</v>
      </c>
      <c r="U13" s="12"/>
      <c r="V13" s="12" t="s">
        <v>27</v>
      </c>
      <c r="W13" s="12"/>
      <c r="X13" s="12" t="s">
        <v>28</v>
      </c>
      <c r="Y13" s="12"/>
      <c r="Z13" s="12" t="s">
        <v>25</v>
      </c>
      <c r="AB13" s="10" t="s">
        <v>26</v>
      </c>
      <c r="AD13" s="10" t="s">
        <v>27</v>
      </c>
      <c r="AF13" s="10" t="s">
        <v>46</v>
      </c>
      <c r="AH13" s="12" t="s">
        <v>28</v>
      </c>
    </row>
    <row r="14" spans="1:41" x14ac:dyDescent="0.25">
      <c r="A14" s="44" t="s">
        <v>47</v>
      </c>
      <c r="B14" s="14"/>
      <c r="D14" s="10" t="s">
        <v>23</v>
      </c>
      <c r="E14" s="7">
        <v>150</v>
      </c>
      <c r="J14" s="13"/>
      <c r="K14" s="12"/>
      <c r="L14" s="12"/>
      <c r="M14" s="12"/>
      <c r="N14" s="12"/>
      <c r="O14" s="12"/>
      <c r="P14" s="12"/>
      <c r="Q14" s="12"/>
      <c r="R14" s="13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41" ht="4.5" customHeight="1" x14ac:dyDescent="0.25">
      <c r="A15" s="44"/>
      <c r="B15" s="15"/>
    </row>
    <row r="16" spans="1:41" x14ac:dyDescent="0.25">
      <c r="A16" s="44"/>
      <c r="B16" s="15"/>
      <c r="D16" s="16" t="s">
        <v>12</v>
      </c>
      <c r="E16" s="8">
        <v>125</v>
      </c>
      <c r="G16" s="17"/>
      <c r="H16" s="45" t="s">
        <v>49</v>
      </c>
      <c r="I16" s="18"/>
      <c r="J16" s="11">
        <f>(VLOOKUP($J$11,'Drop Downs'!$A$9:$F$59,6,FALSE))*E16</f>
        <v>436.25</v>
      </c>
      <c r="L16" s="19"/>
      <c r="N16" s="19"/>
      <c r="P16" s="20">
        <f>J16+L16+N16</f>
        <v>436.25</v>
      </c>
      <c r="Q16" s="20"/>
      <c r="R16" s="11">
        <f>(VLOOKUP($R$11,'Drop Downs'!$A$9:$F$44,6,FALSE))*E16</f>
        <v>428.75</v>
      </c>
      <c r="T16" s="19"/>
      <c r="V16" s="19"/>
      <c r="X16" s="20">
        <f>R16+T16+V16</f>
        <v>428.75</v>
      </c>
      <c r="Z16" s="11">
        <f>(VLOOKUP($Z$11,'Drop Downs'!$A$9:$F$44,6,FALSE))*E16</f>
        <v>415</v>
      </c>
      <c r="AA16" s="11"/>
      <c r="AB16" s="19"/>
      <c r="AC16" s="11"/>
      <c r="AD16" s="19"/>
      <c r="AE16" s="11"/>
      <c r="AF16" s="19"/>
      <c r="AG16" s="11"/>
      <c r="AH16" s="11">
        <f>SUM(Z16:AF16)</f>
        <v>415</v>
      </c>
    </row>
    <row r="17" spans="1:34" ht="6" customHeight="1" x14ac:dyDescent="0.25">
      <c r="A17" s="44"/>
      <c r="B17" s="15"/>
      <c r="D17" s="16"/>
      <c r="E17" s="21"/>
      <c r="G17" s="22"/>
      <c r="H17" s="45"/>
      <c r="I17" s="18"/>
      <c r="L17" s="19"/>
      <c r="N17" s="19"/>
      <c r="P17" s="20"/>
      <c r="Q17" s="20"/>
      <c r="T17" s="19"/>
      <c r="V17" s="19"/>
      <c r="X17" s="20"/>
      <c r="Z17" s="11"/>
      <c r="AA17" s="11"/>
      <c r="AB17" s="19"/>
      <c r="AC17" s="11"/>
      <c r="AD17" s="19"/>
      <c r="AE17" s="11"/>
      <c r="AF17" s="19"/>
      <c r="AG17" s="11"/>
      <c r="AH17" s="11"/>
    </row>
    <row r="18" spans="1:34" x14ac:dyDescent="0.25">
      <c r="A18" s="44"/>
      <c r="B18" s="15"/>
      <c r="D18" s="16" t="s">
        <v>13</v>
      </c>
      <c r="E18" s="8">
        <v>130</v>
      </c>
      <c r="G18" s="22"/>
      <c r="H18" s="45"/>
      <c r="I18" s="18"/>
      <c r="J18" s="11">
        <f>(VLOOKUP($J$11,'Drop Downs'!$A$9:$F$59,6,FALSE))*E18</f>
        <v>453.70000000000005</v>
      </c>
      <c r="L18" s="19"/>
      <c r="N18" s="19"/>
      <c r="P18" s="20">
        <f t="shared" ref="P18" si="0">J18+L18+N18</f>
        <v>453.70000000000005</v>
      </c>
      <c r="Q18" s="20"/>
      <c r="R18" s="11">
        <f>(VLOOKUP($R$11,'Drop Downs'!$A$9:$F$44,6,FALSE))*E18</f>
        <v>445.90000000000003</v>
      </c>
      <c r="T18" s="19"/>
      <c r="V18" s="19"/>
      <c r="X18" s="20">
        <f t="shared" ref="X18:X36" si="1">R18+T18+V18</f>
        <v>445.90000000000003</v>
      </c>
      <c r="Z18" s="11">
        <f>(VLOOKUP($Z$11,'Drop Downs'!$A$9:$F$44,6,FALSE))*E18</f>
        <v>431.59999999999997</v>
      </c>
      <c r="AA18" s="11"/>
      <c r="AB18" s="19"/>
      <c r="AC18" s="11"/>
      <c r="AD18" s="19"/>
      <c r="AE18" s="11"/>
      <c r="AF18" s="19"/>
      <c r="AG18" s="11"/>
      <c r="AH18" s="11">
        <f t="shared" ref="AH18:AH38" si="2">SUM(Z18:AF18)</f>
        <v>431.59999999999997</v>
      </c>
    </row>
    <row r="19" spans="1:34" ht="6" customHeight="1" x14ac:dyDescent="0.25">
      <c r="A19" s="44"/>
      <c r="B19" s="15"/>
      <c r="D19" s="16"/>
      <c r="E19" s="21"/>
      <c r="G19" s="22"/>
      <c r="H19" s="45"/>
      <c r="I19" s="18"/>
      <c r="L19" s="19"/>
      <c r="N19" s="19"/>
      <c r="P19" s="20"/>
      <c r="Q19" s="20"/>
      <c r="T19" s="19"/>
      <c r="V19" s="19"/>
      <c r="X19" s="20"/>
      <c r="Z19" s="11"/>
      <c r="AA19" s="11"/>
      <c r="AB19" s="19"/>
      <c r="AC19" s="11"/>
      <c r="AD19" s="19"/>
      <c r="AE19" s="11"/>
      <c r="AF19" s="19"/>
      <c r="AG19" s="11"/>
      <c r="AH19" s="11"/>
    </row>
    <row r="20" spans="1:34" x14ac:dyDescent="0.25">
      <c r="A20" s="44"/>
      <c r="B20" s="15"/>
      <c r="D20" s="16" t="s">
        <v>14</v>
      </c>
      <c r="E20" s="8">
        <v>140</v>
      </c>
      <c r="G20" s="23"/>
      <c r="H20" s="45"/>
      <c r="I20" s="18"/>
      <c r="J20" s="11">
        <f>(VLOOKUP($J$11,'Drop Downs'!$A$9:$F$59,6,FALSE))*E20</f>
        <v>488.6</v>
      </c>
      <c r="L20" s="19"/>
      <c r="N20" s="19"/>
      <c r="P20" s="20">
        <f t="shared" ref="P20" si="3">J20+L20+N20</f>
        <v>488.6</v>
      </c>
      <c r="Q20" s="20"/>
      <c r="R20" s="11">
        <f>(VLOOKUP($R$11,'Drop Downs'!$A$9:$F$44,6,FALSE))*E20</f>
        <v>480.20000000000005</v>
      </c>
      <c r="T20" s="19"/>
      <c r="V20" s="19"/>
      <c r="X20" s="20">
        <f t="shared" si="1"/>
        <v>480.20000000000005</v>
      </c>
      <c r="Z20" s="11">
        <f>(VLOOKUP($Z$11,'Drop Downs'!$A$9:$F$44,6,FALSE))*E20</f>
        <v>464.79999999999995</v>
      </c>
      <c r="AA20" s="11"/>
      <c r="AB20" s="19"/>
      <c r="AC20" s="11"/>
      <c r="AD20" s="19"/>
      <c r="AE20" s="11"/>
      <c r="AF20" s="19"/>
      <c r="AG20" s="11"/>
      <c r="AH20" s="11">
        <f t="shared" si="2"/>
        <v>464.79999999999995</v>
      </c>
    </row>
    <row r="21" spans="1:34" ht="5.0999999999999996" customHeight="1" x14ac:dyDescent="0.25">
      <c r="A21" s="44"/>
      <c r="B21" s="15"/>
      <c r="E21" s="12"/>
      <c r="L21" s="19"/>
      <c r="N21" s="19"/>
      <c r="P21" s="20"/>
      <c r="Q21" s="20"/>
      <c r="T21" s="11"/>
      <c r="V21" s="11"/>
      <c r="X21" s="20"/>
      <c r="Z21" s="11"/>
      <c r="AA21" s="11"/>
      <c r="AB21" s="11"/>
      <c r="AC21" s="11"/>
      <c r="AD21" s="11"/>
      <c r="AE21" s="11"/>
      <c r="AF21" s="11"/>
      <c r="AG21" s="11"/>
      <c r="AH21" s="11"/>
    </row>
    <row r="22" spans="1:34" x14ac:dyDescent="0.25">
      <c r="A22" s="44"/>
      <c r="B22" s="15"/>
      <c r="D22" s="24" t="s">
        <v>15</v>
      </c>
      <c r="E22" s="9">
        <v>264</v>
      </c>
      <c r="G22" s="17"/>
      <c r="H22" s="45" t="s">
        <v>50</v>
      </c>
      <c r="I22" s="18"/>
      <c r="J22" s="11">
        <f>(VLOOKUP($J$11,'Drop Downs'!$A$9:$F$59,6,FALSE))*E22</f>
        <v>921.36</v>
      </c>
      <c r="L22" s="19"/>
      <c r="N22" s="19"/>
      <c r="P22" s="20">
        <f t="shared" ref="P22" si="4">J22+L22+N22</f>
        <v>921.36</v>
      </c>
      <c r="Q22" s="20"/>
      <c r="R22" s="11">
        <f>(VLOOKUP($R$11,'Drop Downs'!$A$9:$F$44,6,FALSE))*E22</f>
        <v>905.5200000000001</v>
      </c>
      <c r="T22" s="11">
        <f>IF(AND($E$40&lt;&gt;0,E22&gt;$E$40),(E22-$E$40)*VLOOKUP($T$11,'Drop Downs'!$A$9:$F$59,6,FALSE),IF($E$40=0,E22*VLOOKUP($T$11,'Drop Downs'!$A$9:$F$59,6,FALSE),"0"))</f>
        <v>150.47999999999999</v>
      </c>
      <c r="V22" s="25">
        <f>IF($E$40=0,"0",IF(AND(E22&gt;($E$40*1.45),$E$40&lt;&gt;0),E22-($E$40*1.45)*VLOOKUP($V$11,'Drop Downs'!$A$9:$F$59,6,FALSE),"0"))</f>
        <v>204.666</v>
      </c>
      <c r="X22" s="20">
        <f t="shared" si="1"/>
        <v>1260.6659999999999</v>
      </c>
      <c r="Z22" s="11">
        <f>(VLOOKUP($Z$11,'Drop Downs'!$A$9:$F$44,6,FALSE))*E22</f>
        <v>876.4799999999999</v>
      </c>
      <c r="AA22" s="11"/>
      <c r="AB22" s="11">
        <f>IF(AND($E$40&lt;&gt;0,E22&gt;$E$40),(E22-$E$40)*VLOOKUP($AB$11,'Drop Downs'!$A$9:$F$59,6,FALSE),IF($E$40=0,E22*VLOOKUP($AB$11,'Drop Downs'!$A$9:$F$59,6,FALSE),"0"))</f>
        <v>150.47999999999999</v>
      </c>
      <c r="AC22" s="11"/>
      <c r="AD22" s="25">
        <f>IF(AND($E$40&lt;&gt;0,E22&gt;($E$40*1.45)),(E22-($E$40*1.45))*VLOOKUP($AD$11,'Drop Downs'!$A$9:$F$59,6,FALSE),IF($E$40=0,E22*VLOOKUP($AD$11,'Drop Downs'!$A$9:$F$59,6,FALSE),"0"))</f>
        <v>54.449999999999996</v>
      </c>
      <c r="AE22" s="25"/>
      <c r="AF22" s="25" t="str">
        <f>IF(AND(E22-($E$40*2.15)&gt;0,$E$40&lt;&gt;0),(E22-($E$40*2.15))*VLOOKUP($AF$11,'Drop Downs'!$A$9:$F$44,6,FALSE),IF(E40=0,"0","0"))</f>
        <v>0</v>
      </c>
      <c r="AG22" s="11"/>
      <c r="AH22" s="11">
        <f t="shared" si="2"/>
        <v>1081.4099999999999</v>
      </c>
    </row>
    <row r="23" spans="1:34" ht="6" customHeight="1" x14ac:dyDescent="0.25">
      <c r="A23" s="44"/>
      <c r="B23" s="15"/>
      <c r="D23" s="24"/>
      <c r="E23" s="26"/>
      <c r="G23" s="22"/>
      <c r="H23" s="45"/>
      <c r="I23" s="18"/>
      <c r="L23" s="19"/>
      <c r="N23" s="19"/>
      <c r="P23" s="20"/>
      <c r="Q23" s="20"/>
      <c r="T23" s="11"/>
      <c r="V23" s="25"/>
      <c r="X23" s="20"/>
      <c r="Z23" s="11"/>
      <c r="AA23" s="11"/>
      <c r="AB23" s="11"/>
      <c r="AC23" s="11"/>
      <c r="AD23" s="25"/>
      <c r="AE23" s="25"/>
      <c r="AF23" s="25"/>
      <c r="AG23" s="11"/>
      <c r="AH23" s="11"/>
    </row>
    <row r="24" spans="1:34" x14ac:dyDescent="0.25">
      <c r="A24" s="44"/>
      <c r="B24" s="27"/>
      <c r="D24" s="24" t="s">
        <v>16</v>
      </c>
      <c r="E24" s="9">
        <v>156</v>
      </c>
      <c r="G24" s="22"/>
      <c r="H24" s="45"/>
      <c r="I24" s="18"/>
      <c r="J24" s="11">
        <f>(VLOOKUP($J$11,'Drop Downs'!$A$9:$F$59,6,FALSE))*E24</f>
        <v>544.44000000000005</v>
      </c>
      <c r="L24" s="19"/>
      <c r="N24" s="19"/>
      <c r="P24" s="20">
        <f t="shared" ref="P24" si="5">J24+L24+N24</f>
        <v>544.44000000000005</v>
      </c>
      <c r="Q24" s="20"/>
      <c r="R24" s="11">
        <f>(VLOOKUP($R$11,'Drop Downs'!$A$9:$F$44,6,FALSE))*E24</f>
        <v>535.08000000000004</v>
      </c>
      <c r="T24" s="11">
        <f>IF(AND($E$40&lt;&gt;0,E24&gt;$E$40),(E24-$E$40)*VLOOKUP($T$11,'Drop Downs'!$A$9:$F$59,6,FALSE),IF($E$40=0,E24*VLOOKUP($T$11,'Drop Downs'!$A$9:$F$59,6,FALSE),"0"))</f>
        <v>27.36</v>
      </c>
      <c r="V24" s="25" t="str">
        <f>IF($E$40=0,"0",IF(AND(E24&gt;($E$40*1.45),$E$40&lt;&gt;0),E24-($E$40*1.45)*VLOOKUP($V$11,'Drop Downs'!$A$9:$F$59,6,FALSE),"0"))</f>
        <v>0</v>
      </c>
      <c r="X24" s="20">
        <f t="shared" si="1"/>
        <v>562.44000000000005</v>
      </c>
      <c r="Z24" s="11">
        <f>(VLOOKUP($Z$11,'Drop Downs'!$A$9:$F$44,6,FALSE))*E24</f>
        <v>517.91999999999996</v>
      </c>
      <c r="AA24" s="11"/>
      <c r="AB24" s="11">
        <f>IF(AND($E$40&lt;&gt;0,E24&gt;$E$40),(E24-$E$40)*VLOOKUP($AB$11,'Drop Downs'!$A$9:$F$59,6,FALSE),IF($E$40=0,E24*VLOOKUP($AB$11,'Drop Downs'!$A$9:$F$59,6,FALSE),"0"))</f>
        <v>27.36</v>
      </c>
      <c r="AC24" s="11"/>
      <c r="AD24" s="25" t="str">
        <f>IF(AND($E$40&lt;&gt;0,E24&gt;($E$40*1.45)),(E24-($E$40*1.45))*VLOOKUP($AD$11,'Drop Downs'!$A$9:$F$59,6,FALSE),IF($E$40=0,E24*VLOOKUP($AD$11,'Drop Downs'!$A$9:$F$59,6,FALSE),"0"))</f>
        <v>0</v>
      </c>
      <c r="AE24" s="25"/>
      <c r="AF24" s="25" t="str">
        <f>IF(AND(E24-($E$40*2.15)&gt;0,$E$40&lt;&gt;0),(E24-($E$40*2.15))*VLOOKUP($AF$11,'Drop Downs'!$A$9:$F$44,6,FALSE),IF(E42=0,"0","0"))</f>
        <v>0</v>
      </c>
      <c r="AG24" s="11"/>
      <c r="AH24" s="11">
        <f t="shared" si="2"/>
        <v>545.28</v>
      </c>
    </row>
    <row r="25" spans="1:34" ht="5.0999999999999996" customHeight="1" x14ac:dyDescent="0.25">
      <c r="D25" s="24"/>
      <c r="E25" s="26"/>
      <c r="G25" s="22"/>
      <c r="H25" s="45"/>
      <c r="I25" s="18"/>
      <c r="L25" s="11"/>
      <c r="N25" s="11"/>
      <c r="P25" s="20"/>
      <c r="Q25" s="20"/>
      <c r="T25" s="11"/>
      <c r="V25" s="25"/>
      <c r="X25" s="20"/>
      <c r="Z25" s="11"/>
      <c r="AA25" s="11"/>
      <c r="AB25" s="11"/>
      <c r="AC25" s="11"/>
      <c r="AD25" s="25"/>
      <c r="AE25" s="25"/>
      <c r="AF25" s="25"/>
      <c r="AG25" s="11"/>
      <c r="AH25" s="11"/>
    </row>
    <row r="26" spans="1:34" x14ac:dyDescent="0.25">
      <c r="A26" s="44" t="s">
        <v>48</v>
      </c>
      <c r="B26" s="14"/>
      <c r="D26" s="24" t="s">
        <v>17</v>
      </c>
      <c r="E26" s="9">
        <v>560</v>
      </c>
      <c r="G26" s="22"/>
      <c r="H26" s="45"/>
      <c r="I26" s="18"/>
      <c r="J26" s="11">
        <f>(VLOOKUP($J$11,'Drop Downs'!$A$9:$F$59,6,FALSE))*E26</f>
        <v>1954.4</v>
      </c>
      <c r="L26" s="11">
        <f>IF(E26&gt;$E$42,(E26-$E$42)*VLOOKUP($J$11,'Drop Downs'!$A$9:$F$60,6,FALSE),"0")</f>
        <v>1392.51</v>
      </c>
      <c r="N26" s="25">
        <f>IF(E26-($E$42*1.45)&gt;0,(E26-($E$42*1.45))*VLOOKUP($N$11,'Drop Downs'!$A$9:$F$60,6,FALSE),"0")</f>
        <v>101.23050000000001</v>
      </c>
      <c r="P26" s="20">
        <f t="shared" ref="P26" si="6">J26+L26+N26</f>
        <v>3448.1405</v>
      </c>
      <c r="Q26" s="20"/>
      <c r="R26" s="11">
        <f>(VLOOKUP($R$11,'Drop Downs'!$A$9:$F$44,6,FALSE))*E26</f>
        <v>1920.8000000000002</v>
      </c>
      <c r="T26" s="11">
        <f>IF(AND($E$40&lt;&gt;0,E26&gt;$E$40),(E26-$E$40)*VLOOKUP($T$11,'Drop Downs'!$A$9:$F$59,6,FALSE),IF($E$40=0,E26*VLOOKUP($T$11,'Drop Downs'!$A$9:$F$59,6,FALSE),"0"))</f>
        <v>487.91999999999996</v>
      </c>
      <c r="V26" s="25">
        <f>IF($E$40=0,"0",IF(AND(E26&gt;($E$40*1.45),$E$40&lt;&gt;0),E26-($E$40*1.45)*VLOOKUP($V$11,'Drop Downs'!$A$9:$F$59,6,FALSE),"0"))</f>
        <v>500.666</v>
      </c>
      <c r="X26" s="20">
        <f t="shared" si="1"/>
        <v>2909.3860000000004</v>
      </c>
      <c r="Z26" s="11">
        <f>(VLOOKUP($Z$11,'Drop Downs'!$A$9:$F$44,6,FALSE))*E26</f>
        <v>1859.1999999999998</v>
      </c>
      <c r="AA26" s="11"/>
      <c r="AB26" s="11">
        <f>IF(AND($E$40&lt;&gt;0,E26&gt;$E$40),(E26-$E$40)*VLOOKUP($AB$11,'Drop Downs'!$A$9:$F$59,6,FALSE),IF($E$40=0,E26*VLOOKUP($AB$11,'Drop Downs'!$A$9:$F$59,6,FALSE),"0"))</f>
        <v>487.91999999999996</v>
      </c>
      <c r="AC26" s="11"/>
      <c r="AD26" s="25">
        <f>IF(AND($E$40&lt;&gt;0,E26&gt;($E$40*1.45)),(E26-($E$40*1.45))*VLOOKUP($AD$11,'Drop Downs'!$A$9:$F$59,6,FALSE),IF($E$40=0,E26*VLOOKUP($AD$11,'Drop Downs'!$A$9:$F$59,6,FALSE),"0"))</f>
        <v>276.45000000000005</v>
      </c>
      <c r="AE26" s="25"/>
      <c r="AF26" s="25">
        <f>IF(AND(E26-($E$40*2.15)&gt;0,$E$40&lt;&gt;0),(E26-($E$40*2.15))*VLOOKUP($AF$11,'Drop Downs'!$A$9:$F$44,6,FALSE),IF(E44=0,"0","0"))</f>
        <v>276.2</v>
      </c>
      <c r="AG26" s="11"/>
      <c r="AH26" s="11">
        <f t="shared" si="2"/>
        <v>2899.7699999999995</v>
      </c>
    </row>
    <row r="27" spans="1:34" ht="5.0999999999999996" customHeight="1" x14ac:dyDescent="0.25">
      <c r="A27" s="44"/>
      <c r="B27" s="15"/>
      <c r="D27" s="24"/>
      <c r="E27" s="26"/>
      <c r="G27" s="22"/>
      <c r="H27" s="45"/>
      <c r="I27" s="18"/>
      <c r="L27" s="11"/>
      <c r="N27" s="25"/>
      <c r="P27" s="20"/>
      <c r="Q27" s="20"/>
      <c r="T27" s="11"/>
      <c r="V27" s="25"/>
      <c r="X27" s="20"/>
      <c r="Z27" s="11"/>
      <c r="AA27" s="11"/>
      <c r="AB27" s="11"/>
      <c r="AC27" s="11"/>
      <c r="AD27" s="25"/>
      <c r="AE27" s="25"/>
      <c r="AF27" s="25"/>
      <c r="AG27" s="11"/>
      <c r="AH27" s="11"/>
    </row>
    <row r="28" spans="1:34" x14ac:dyDescent="0.25">
      <c r="A28" s="44"/>
      <c r="B28" s="15"/>
      <c r="D28" s="24" t="s">
        <v>18</v>
      </c>
      <c r="E28" s="9">
        <v>402</v>
      </c>
      <c r="G28" s="22"/>
      <c r="H28" s="45"/>
      <c r="I28" s="18"/>
      <c r="J28" s="11">
        <f>(VLOOKUP($J$11,'Drop Downs'!$A$9:$F$59,6,FALSE))*E28</f>
        <v>1402.98</v>
      </c>
      <c r="L28" s="11">
        <f>IF(E28&gt;$E$42,(E28-$E$42)*VLOOKUP($J$11,'Drop Downs'!$A$9:$F$60,6,FALSE),"0")</f>
        <v>841.09</v>
      </c>
      <c r="N28" s="25">
        <f>IF(E28-($E$42*1.45)&gt;0,(E28-($E$42*1.45))*VLOOKUP($N$11,'Drop Downs'!$A$9:$F$60,6,FALSE),"0")</f>
        <v>52.250500000000002</v>
      </c>
      <c r="P28" s="20">
        <f t="shared" ref="P28" si="7">J28+L28+N28</f>
        <v>2296.3205000000003</v>
      </c>
      <c r="Q28" s="20"/>
      <c r="R28" s="11">
        <f>(VLOOKUP($R$11,'Drop Downs'!$A$9:$F$44,6,FALSE))*E28</f>
        <v>1378.8600000000001</v>
      </c>
      <c r="T28" s="11">
        <f>IF(AND($E$40&lt;&gt;0,E28&gt;$E$40),(E28-$E$40)*VLOOKUP($T$11,'Drop Downs'!$A$9:$F$59,6,FALSE),IF($E$40=0,E28*VLOOKUP($T$11,'Drop Downs'!$A$9:$F$59,6,FALSE),"0"))</f>
        <v>307.79999999999995</v>
      </c>
      <c r="V28" s="25">
        <f>IF($E$40=0,"0",IF(AND(E28&gt;($E$40*1.45),$E$40&lt;&gt;0),E28-($E$40*1.45)*VLOOKUP($V$11,'Drop Downs'!$A$9:$F$59,6,FALSE),"0"))</f>
        <v>342.666</v>
      </c>
      <c r="X28" s="20">
        <f t="shared" si="1"/>
        <v>2029.326</v>
      </c>
      <c r="Z28" s="11">
        <f>(VLOOKUP($Z$11,'Drop Downs'!$A$9:$F$44,6,FALSE))*E28</f>
        <v>1334.6399999999999</v>
      </c>
      <c r="AA28" s="11"/>
      <c r="AB28" s="11">
        <f>IF(AND($E$40&lt;&gt;0,E28&gt;$E$40),(E28-$E$40)*VLOOKUP($AB$11,'Drop Downs'!$A$9:$F$59,6,FALSE),IF($E$40=0,E28*VLOOKUP($AB$11,'Drop Downs'!$A$9:$F$59,6,FALSE),"0"))</f>
        <v>307.79999999999995</v>
      </c>
      <c r="AC28" s="11"/>
      <c r="AD28" s="25">
        <f>IF(AND($E$40&lt;&gt;0,E28&gt;($E$40*1.45)),(E28-($E$40*1.45))*VLOOKUP($AD$11,'Drop Downs'!$A$9:$F$59,6,FALSE),IF($E$40=0,E28*VLOOKUP($AD$11,'Drop Downs'!$A$9:$F$59,6,FALSE),"0"))</f>
        <v>157.94999999999999</v>
      </c>
      <c r="AE28" s="25"/>
      <c r="AF28" s="25">
        <f>IF(AND(E28-($E$40*2.15)&gt;0,$E$40&lt;&gt;0),(E28-($E$40*2.15))*VLOOKUP($AF$11,'Drop Downs'!$A$9:$F$44,6,FALSE),IF(E46=0,"0","0"))</f>
        <v>118.19999999999999</v>
      </c>
      <c r="AG28" s="11"/>
      <c r="AH28" s="11">
        <f t="shared" si="2"/>
        <v>1918.59</v>
      </c>
    </row>
    <row r="29" spans="1:34" ht="5.0999999999999996" customHeight="1" x14ac:dyDescent="0.25">
      <c r="A29" s="44"/>
      <c r="B29" s="15"/>
      <c r="D29" s="24"/>
      <c r="E29" s="26"/>
      <c r="G29" s="22"/>
      <c r="H29" s="45"/>
      <c r="I29" s="18"/>
      <c r="L29" s="11"/>
      <c r="N29" s="25"/>
      <c r="P29" s="20"/>
      <c r="Q29" s="20"/>
      <c r="T29" s="11"/>
      <c r="V29" s="25"/>
      <c r="X29" s="20"/>
      <c r="Z29" s="11"/>
      <c r="AA29" s="11"/>
      <c r="AB29" s="11"/>
      <c r="AC29" s="11"/>
      <c r="AD29" s="25"/>
      <c r="AE29" s="25"/>
      <c r="AF29" s="25"/>
      <c r="AG29" s="11"/>
      <c r="AH29" s="11"/>
    </row>
    <row r="30" spans="1:34" x14ac:dyDescent="0.25">
      <c r="A30" s="44"/>
      <c r="B30" s="15"/>
      <c r="D30" s="24" t="s">
        <v>19</v>
      </c>
      <c r="E30" s="9">
        <v>474</v>
      </c>
      <c r="G30" s="22"/>
      <c r="H30" s="45"/>
      <c r="I30" s="18"/>
      <c r="J30" s="11">
        <f>(VLOOKUP($J$11,'Drop Downs'!$A$9:$F$59,6,FALSE))*E30</f>
        <v>1654.26</v>
      </c>
      <c r="L30" s="11">
        <f>IF(E30&gt;$E$42,(E30-$E$42)*VLOOKUP($J$11,'Drop Downs'!$A$9:$F$60,6,FALSE),"0")</f>
        <v>1092.3700000000001</v>
      </c>
      <c r="N30" s="25">
        <f>IF(E30-($E$42*1.45)&gt;0,(E30-($E$42*1.45))*VLOOKUP($N$11,'Drop Downs'!$A$9:$F$60,6,FALSE),"0")</f>
        <v>74.57050000000001</v>
      </c>
      <c r="P30" s="20">
        <f t="shared" ref="P30" si="8">J30+L30+N30</f>
        <v>2821.2004999999999</v>
      </c>
      <c r="Q30" s="20"/>
      <c r="R30" s="11">
        <f>(VLOOKUP($R$11,'Drop Downs'!$A$9:$F$44,6,FALSE))*E30</f>
        <v>1625.8200000000002</v>
      </c>
      <c r="T30" s="11">
        <f>IF(AND($E$40&lt;&gt;0,E30&gt;$E$40),(E30-$E$40)*VLOOKUP($T$11,'Drop Downs'!$A$9:$F$59,6,FALSE),IF($E$40=0,E30*VLOOKUP($T$11,'Drop Downs'!$A$9:$F$59,6,FALSE),"0"))</f>
        <v>389.87999999999994</v>
      </c>
      <c r="V30" s="25">
        <f>IF($E$40=0,"0",IF(AND(E30&gt;($E$40*1.45),$E$40&lt;&gt;0),E30-($E$40*1.45)*VLOOKUP($V$11,'Drop Downs'!$A$9:$F$59,6,FALSE),"0"))</f>
        <v>414.666</v>
      </c>
      <c r="X30" s="20">
        <f t="shared" si="1"/>
        <v>2430.366</v>
      </c>
      <c r="Z30" s="11">
        <f>(VLOOKUP($Z$11,'Drop Downs'!$A$9:$F$44,6,FALSE))*E30</f>
        <v>1573.6799999999998</v>
      </c>
      <c r="AA30" s="11"/>
      <c r="AB30" s="11">
        <f>IF(AND($E$40&lt;&gt;0,E30&gt;$E$40),(E30-$E$40)*VLOOKUP($AB$11,'Drop Downs'!$A$9:$F$59,6,FALSE),IF($E$40=0,E30*VLOOKUP($AB$11,'Drop Downs'!$A$9:$F$59,6,FALSE),"0"))</f>
        <v>389.87999999999994</v>
      </c>
      <c r="AC30" s="11"/>
      <c r="AD30" s="25">
        <f>IF(AND($E$40&lt;&gt;0,E30&gt;($E$40*1.45)),(E30-($E$40*1.45))*VLOOKUP($AD$11,'Drop Downs'!$A$9:$F$59,6,FALSE),IF($E$40=0,E30*VLOOKUP($AD$11,'Drop Downs'!$A$9:$F$59,6,FALSE),"0"))</f>
        <v>211.95000000000002</v>
      </c>
      <c r="AE30" s="25"/>
      <c r="AF30" s="25">
        <f>IF(AND(E30-($E$40*2.15)&gt;0,$E$40&lt;&gt;0),(E30-($E$40*2.15))*VLOOKUP($AF$11,'Drop Downs'!$A$9:$F$44,6,FALSE),IF(E48=0,"0","0"))</f>
        <v>190.2</v>
      </c>
      <c r="AG30" s="11"/>
      <c r="AH30" s="11">
        <f t="shared" si="2"/>
        <v>2365.7099999999996</v>
      </c>
    </row>
    <row r="31" spans="1:34" ht="5.0999999999999996" customHeight="1" x14ac:dyDescent="0.25">
      <c r="A31" s="44"/>
      <c r="B31" s="15"/>
      <c r="D31" s="24"/>
      <c r="E31" s="26"/>
      <c r="G31" s="22"/>
      <c r="H31" s="45"/>
      <c r="I31" s="18"/>
      <c r="L31" s="11"/>
      <c r="N31" s="25"/>
      <c r="P31" s="20"/>
      <c r="Q31" s="20"/>
      <c r="T31" s="11"/>
      <c r="V31" s="25"/>
      <c r="X31" s="20"/>
      <c r="Z31" s="11"/>
      <c r="AA31" s="11"/>
      <c r="AB31" s="11"/>
      <c r="AC31" s="11"/>
      <c r="AD31" s="25"/>
      <c r="AE31" s="25"/>
      <c r="AF31" s="25"/>
      <c r="AG31" s="11"/>
      <c r="AH31" s="11"/>
    </row>
    <row r="32" spans="1:34" x14ac:dyDescent="0.25">
      <c r="A32" s="44"/>
      <c r="B32" s="15"/>
      <c r="D32" s="24" t="s">
        <v>20</v>
      </c>
      <c r="E32" s="9">
        <v>601</v>
      </c>
      <c r="G32" s="22"/>
      <c r="H32" s="45"/>
      <c r="I32" s="18"/>
      <c r="J32" s="11">
        <f>(VLOOKUP($J$11,'Drop Downs'!$A$9:$F$59,6,FALSE))*E32</f>
        <v>2097.4900000000002</v>
      </c>
      <c r="L32" s="11">
        <f>IF(E32&gt;$E$42,(E32-$E$42)*VLOOKUP($J$11,'Drop Downs'!$A$9:$F$60,6,FALSE),"0")</f>
        <v>1535.6000000000001</v>
      </c>
      <c r="N32" s="25">
        <f>IF(E32-($E$42*1.45)&gt;0,(E32-($E$42*1.45))*VLOOKUP($N$11,'Drop Downs'!$A$9:$F$60,6,FALSE),"0")</f>
        <v>113.9405</v>
      </c>
      <c r="P32" s="20">
        <f t="shared" ref="P32" si="9">J32+L32+N32</f>
        <v>3747.0305000000003</v>
      </c>
      <c r="Q32" s="20"/>
      <c r="R32" s="11">
        <f>(VLOOKUP($R$11,'Drop Downs'!$A$9:$F$44,6,FALSE))*E32</f>
        <v>2061.4300000000003</v>
      </c>
      <c r="T32" s="11">
        <f>IF(AND($E$40&lt;&gt;0,E32&gt;$E$40),(E32-$E$40)*VLOOKUP($T$11,'Drop Downs'!$A$9:$F$59,6,FALSE),IF($E$40=0,E32*VLOOKUP($T$11,'Drop Downs'!$A$9:$F$59,6,FALSE),"0"))</f>
        <v>534.66</v>
      </c>
      <c r="V32" s="25">
        <f>IF($E$40=0,"0",IF(AND(E32&gt;($E$40*1.45),$E$40&lt;&gt;0),E32-($E$40*1.45)*VLOOKUP($V$11,'Drop Downs'!$A$9:$F$59,6,FALSE),"0"))</f>
        <v>541.66599999999994</v>
      </c>
      <c r="X32" s="20">
        <f t="shared" si="1"/>
        <v>3137.7560000000003</v>
      </c>
      <c r="Z32" s="11">
        <f>(VLOOKUP($Z$11,'Drop Downs'!$A$9:$F$44,6,FALSE))*E32</f>
        <v>1995.32</v>
      </c>
      <c r="AA32" s="11"/>
      <c r="AB32" s="11">
        <f>IF(AND($E$40&lt;&gt;0,E32&gt;$E$40),(E32-$E$40)*VLOOKUP($AB$11,'Drop Downs'!$A$9:$F$59,6,FALSE),IF($E$40=0,E32*VLOOKUP($AB$11,'Drop Downs'!$A$9:$F$59,6,FALSE),"0"))</f>
        <v>534.66</v>
      </c>
      <c r="AC32" s="11"/>
      <c r="AD32" s="25">
        <f>IF(AND($E$40&lt;&gt;0,E32&gt;($E$40*1.45)),(E32-($E$40*1.45))*VLOOKUP($AD$11,'Drop Downs'!$A$9:$F$59,6,FALSE),IF($E$40=0,E32*VLOOKUP($AD$11,'Drop Downs'!$A$9:$F$59,6,FALSE),"0"))</f>
        <v>307.20000000000005</v>
      </c>
      <c r="AE32" s="25"/>
      <c r="AF32" s="25">
        <f>IF(AND(E32-($E$40*2.15)&gt;0,$E$40&lt;&gt;0),(E32-($E$40*2.15))*VLOOKUP($AF$11,'Drop Downs'!$A$9:$F$44,6,FALSE),IF(E50=0,"0","0"))</f>
        <v>317.2</v>
      </c>
      <c r="AG32" s="11"/>
      <c r="AH32" s="11">
        <f t="shared" si="2"/>
        <v>3154.38</v>
      </c>
    </row>
    <row r="33" spans="1:34" ht="5.0999999999999996" customHeight="1" x14ac:dyDescent="0.25">
      <c r="A33" s="44"/>
      <c r="B33" s="15"/>
      <c r="D33" s="24"/>
      <c r="E33" s="26"/>
      <c r="G33" s="22"/>
      <c r="H33" s="45"/>
      <c r="I33" s="18"/>
      <c r="L33" s="11"/>
      <c r="N33" s="25"/>
      <c r="P33" s="20"/>
      <c r="Q33" s="20"/>
      <c r="T33" s="11"/>
      <c r="V33" s="25"/>
      <c r="X33" s="20"/>
      <c r="Z33" s="11"/>
      <c r="AA33" s="11"/>
      <c r="AB33" s="11"/>
      <c r="AC33" s="11"/>
      <c r="AD33" s="25"/>
      <c r="AE33" s="25"/>
      <c r="AF33" s="25"/>
      <c r="AG33" s="11"/>
      <c r="AH33" s="11"/>
    </row>
    <row r="34" spans="1:34" x14ac:dyDescent="0.25">
      <c r="A34" s="44"/>
      <c r="B34" s="15"/>
      <c r="D34" s="24" t="s">
        <v>21</v>
      </c>
      <c r="E34" s="9">
        <v>500</v>
      </c>
      <c r="G34" s="22"/>
      <c r="H34" s="45"/>
      <c r="I34" s="18"/>
      <c r="J34" s="11">
        <f>(VLOOKUP($J$11,'Drop Downs'!$A$9:$F$59,6,FALSE))*E34</f>
        <v>1745</v>
      </c>
      <c r="L34" s="11">
        <f>IF(E34&gt;$E$42,(E34-$E$42)*VLOOKUP($J$11,'Drop Downs'!$A$9:$F$60,6,FALSE),"0")</f>
        <v>1183.1100000000001</v>
      </c>
      <c r="N34" s="25">
        <f>IF(E34-($E$42*1.45)&gt;0,(E34-($E$42*1.45))*VLOOKUP($N$11,'Drop Downs'!$A$9:$F$60,6,FALSE),"0")</f>
        <v>82.630499999999998</v>
      </c>
      <c r="P34" s="20">
        <f t="shared" ref="P34" si="10">J34+L34+N34</f>
        <v>3010.7405000000003</v>
      </c>
      <c r="Q34" s="20"/>
      <c r="R34" s="11">
        <f>(VLOOKUP($R$11,'Drop Downs'!$A$9:$F$44,6,FALSE))*E34</f>
        <v>1715</v>
      </c>
      <c r="T34" s="11">
        <f>IF(AND($E$40&lt;&gt;0,E34&gt;$E$40),(E34-$E$40)*VLOOKUP($T$11,'Drop Downs'!$A$9:$F$59,6,FALSE),IF($E$40=0,E34*VLOOKUP($T$11,'Drop Downs'!$A$9:$F$59,6,FALSE),"0"))</f>
        <v>419.52</v>
      </c>
      <c r="V34" s="25">
        <f>IF($E$40=0,"0",IF(AND(E34&gt;($E$40*1.45),$E$40&lt;&gt;0),E34-($E$40*1.45)*VLOOKUP($V$11,'Drop Downs'!$A$9:$F$59,6,FALSE),"0"))</f>
        <v>440.666</v>
      </c>
      <c r="X34" s="20">
        <f t="shared" si="1"/>
        <v>2575.1860000000001</v>
      </c>
      <c r="Z34" s="11">
        <f>(VLOOKUP($Z$11,'Drop Downs'!$A$9:$F$44,6,FALSE))*E34</f>
        <v>1660</v>
      </c>
      <c r="AA34" s="11"/>
      <c r="AB34" s="11">
        <f>IF(AND($E$40&lt;&gt;0,E34&gt;$E$40),(E34-$E$40)*VLOOKUP($AB$11,'Drop Downs'!$A$9:$F$59,6,FALSE),IF($E$40=0,E34*VLOOKUP($AB$11,'Drop Downs'!$A$9:$F$59,6,FALSE),"0"))</f>
        <v>419.52</v>
      </c>
      <c r="AC34" s="11"/>
      <c r="AD34" s="25">
        <f>IF(AND($E$40&lt;&gt;0,E34&gt;($E$40*1.45)),(E34-($E$40*1.45))*VLOOKUP($AD$11,'Drop Downs'!$A$9:$F$59,6,FALSE),IF($E$40=0,E34*VLOOKUP($AD$11,'Drop Downs'!$A$9:$F$59,6,FALSE),"0"))</f>
        <v>231.45000000000002</v>
      </c>
      <c r="AE34" s="25"/>
      <c r="AF34" s="25">
        <f>IF(AND(E34-($E$40*2.15)&gt;0,$E$40&lt;&gt;0),(E34-($E$40*2.15))*VLOOKUP($AF$11,'Drop Downs'!$A$9:$F$44,6,FALSE),IF(E52=0,"0","0"))</f>
        <v>216.2</v>
      </c>
      <c r="AG34" s="11"/>
      <c r="AH34" s="11">
        <f t="shared" si="2"/>
        <v>2527.1699999999996</v>
      </c>
    </row>
    <row r="35" spans="1:34" ht="5.0999999999999996" customHeight="1" x14ac:dyDescent="0.25">
      <c r="A35" s="44"/>
      <c r="B35" s="15"/>
      <c r="D35" s="24"/>
      <c r="E35" s="26"/>
      <c r="G35" s="22"/>
      <c r="H35" s="45"/>
      <c r="I35" s="18"/>
      <c r="L35" s="11"/>
      <c r="N35" s="25"/>
      <c r="P35" s="20"/>
      <c r="Q35" s="20"/>
      <c r="T35" s="11"/>
      <c r="V35" s="25"/>
      <c r="X35" s="20"/>
      <c r="Z35" s="11"/>
      <c r="AA35" s="11"/>
      <c r="AB35" s="11"/>
      <c r="AC35" s="11"/>
      <c r="AD35" s="25"/>
      <c r="AE35" s="25"/>
      <c r="AF35" s="25"/>
      <c r="AG35" s="11"/>
      <c r="AH35" s="11"/>
    </row>
    <row r="36" spans="1:34" x14ac:dyDescent="0.25">
      <c r="A36" s="44"/>
      <c r="B36" s="27"/>
      <c r="D36" s="24" t="s">
        <v>22</v>
      </c>
      <c r="E36" s="9">
        <v>300</v>
      </c>
      <c r="G36" s="22"/>
      <c r="H36" s="45"/>
      <c r="I36" s="18"/>
      <c r="J36" s="11">
        <f>(VLOOKUP($J$11,'Drop Downs'!$A$9:$F$59,6,FALSE))*E36</f>
        <v>1047</v>
      </c>
      <c r="L36" s="11">
        <f>IF(E36&gt;$E$42,(E36-$E$42)*VLOOKUP($J$11,'Drop Downs'!$A$9:$F$60,6,FALSE),"0")</f>
        <v>485.11</v>
      </c>
      <c r="N36" s="25">
        <f>IF(E36-($E$42*1.45)&gt;0,(E36-($E$42*1.45))*VLOOKUP($N$11,'Drop Downs'!$A$9:$F$60,6,FALSE),"0")</f>
        <v>20.630500000000005</v>
      </c>
      <c r="P36" s="20">
        <f t="shared" ref="P36" si="11">J36+L36+N36</f>
        <v>1552.7405000000001</v>
      </c>
      <c r="Q36" s="20"/>
      <c r="R36" s="11">
        <f>(VLOOKUP($R$11,'Drop Downs'!$A$9:$F$44,6,FALSE))*E36</f>
        <v>1029</v>
      </c>
      <c r="T36" s="11">
        <f>IF(AND($E$40&lt;&gt;0,E36&gt;$E$40),(E36-$E$40)*VLOOKUP($T$11,'Drop Downs'!$A$9:$F$59,6,FALSE),IF($E$40=0,E36*VLOOKUP($T$11,'Drop Downs'!$A$9:$F$59,6,FALSE),"0"))</f>
        <v>191.51999999999998</v>
      </c>
      <c r="V36" s="25">
        <f>IF($E$40=0,"0",IF(AND(E36&gt;($E$40*1.45),$E$40&lt;&gt;0),E36-($E$40*1.45)*VLOOKUP($V$11,'Drop Downs'!$A$9:$F$59,6,FALSE),"0"))</f>
        <v>240.666</v>
      </c>
      <c r="X36" s="20">
        <f t="shared" si="1"/>
        <v>1461.1859999999999</v>
      </c>
      <c r="Z36" s="11">
        <f>(VLOOKUP($Z$11,'Drop Downs'!$A$9:$F$44,6,FALSE))*E36</f>
        <v>996</v>
      </c>
      <c r="AA36" s="11"/>
      <c r="AB36" s="11">
        <f>IF(AND($E$40&lt;&gt;0,E36&gt;$E$40),(E36-$E$40)*VLOOKUP($AB$11,'Drop Downs'!$A$9:$F$59,6,FALSE),IF($E$40=0,E36*VLOOKUP($AB$11,'Drop Downs'!$A$9:$F$59,6,FALSE),"0"))</f>
        <v>191.51999999999998</v>
      </c>
      <c r="AC36" s="11"/>
      <c r="AD36" s="25">
        <f>IF(AND($E$40&lt;&gt;0,E36&gt;($E$40*1.45)),(E36-($E$40*1.45))*VLOOKUP($AD$11,'Drop Downs'!$A$9:$F$59,6,FALSE),IF($E$40=0,E36*VLOOKUP($AD$11,'Drop Downs'!$A$9:$F$59,6,FALSE),"0"))</f>
        <v>81.449999999999989</v>
      </c>
      <c r="AE36" s="25"/>
      <c r="AF36" s="25">
        <f>IF(AND(E36-($E$40*2.15)&gt;0,$E$40&lt;&gt;0),(E36-($E$40*2.15))*VLOOKUP($AF$11,'Drop Downs'!$A$9:$F$44,6,FALSE),IF(E54=0,"0","0"))</f>
        <v>16.199999999999989</v>
      </c>
      <c r="AG36" s="11"/>
      <c r="AH36" s="11">
        <f t="shared" si="2"/>
        <v>1285.17</v>
      </c>
    </row>
    <row r="37" spans="1:34" ht="5.0999999999999996" customHeight="1" x14ac:dyDescent="0.25">
      <c r="D37" s="24"/>
      <c r="E37" s="26"/>
      <c r="G37" s="22"/>
      <c r="H37" s="45"/>
      <c r="I37" s="18"/>
      <c r="L37" s="11"/>
      <c r="N37" s="25"/>
      <c r="P37" s="20"/>
      <c r="Q37" s="20"/>
      <c r="T37" s="11"/>
      <c r="V37" s="25"/>
      <c r="X37" s="20"/>
      <c r="Z37" s="11"/>
      <c r="AA37" s="11"/>
      <c r="AB37" s="11"/>
      <c r="AC37" s="11"/>
      <c r="AD37" s="25"/>
      <c r="AE37" s="25"/>
      <c r="AF37" s="25"/>
      <c r="AG37" s="11"/>
      <c r="AH37" s="11"/>
    </row>
    <row r="38" spans="1:34" x14ac:dyDescent="0.25">
      <c r="D38" s="24" t="s">
        <v>23</v>
      </c>
      <c r="E38" s="9">
        <v>300</v>
      </c>
      <c r="G38" s="23"/>
      <c r="H38" s="45"/>
      <c r="I38" s="18"/>
      <c r="J38" s="28">
        <f>(VLOOKUP($J$11,'Drop Downs'!$A$9:$F$59,6,FALSE))*E38</f>
        <v>1047</v>
      </c>
      <c r="L38" s="28">
        <f>IF(E38&gt;$E$42,(E38-$E$42)*VLOOKUP($J$11,'Drop Downs'!$A$9:$F$60,6,FALSE),"0")</f>
        <v>485.11</v>
      </c>
      <c r="N38" s="29">
        <f>IF(E38-($E$42*1.45)&gt;0,(E38-($E$42*1.45))*VLOOKUP($N$11,'Drop Downs'!$A$9:$F$60,6,FALSE),"0")</f>
        <v>20.630500000000005</v>
      </c>
      <c r="P38" s="28">
        <f>J38+L38+N38</f>
        <v>1552.7405000000001</v>
      </c>
      <c r="Q38" s="30"/>
      <c r="R38" s="28">
        <f>(VLOOKUP($R$11,'Drop Downs'!$A$9:$F$44,6,FALSE))*E38</f>
        <v>1029</v>
      </c>
      <c r="T38" s="28">
        <f>IF(AND($E$40&lt;&gt;0,E38&gt;$E$40),(E38-$E$40)*VLOOKUP($T$11,'Drop Downs'!$A$9:$F$59,6,FALSE),IF($E$40=0,E38*VLOOKUP($T$11,'Drop Downs'!$A$9:$F$59,6,FALSE),"0"))</f>
        <v>191.51999999999998</v>
      </c>
      <c r="V38" s="29">
        <f>IF($E$40=0,"0",IF(AND(E38&gt;($E$40*1.45),$E$40&lt;&gt;0),E38-($E$40*1.45)*VLOOKUP($V$11,'Drop Downs'!$A$9:$F$59,6,FALSE),"0"))</f>
        <v>240.666</v>
      </c>
      <c r="X38" s="28">
        <f>R38+T38+V38</f>
        <v>1461.1859999999999</v>
      </c>
      <c r="Z38" s="28">
        <f>(VLOOKUP($Z$11,'Drop Downs'!$A$9:$F$44,6,FALSE))*E38</f>
        <v>996</v>
      </c>
      <c r="AA38" s="11"/>
      <c r="AB38" s="28">
        <f>IF(AND($E$40&lt;&gt;0,E38&gt;$E$40),(E38-$E$40)*VLOOKUP($AB$11,'Drop Downs'!$A$9:$F$59,6,FALSE),IF($E$40=0,E38*VLOOKUP($AB$11,'Drop Downs'!$A$9:$F$59,6,FALSE),"0"))</f>
        <v>191.51999999999998</v>
      </c>
      <c r="AC38" s="11"/>
      <c r="AD38" s="29">
        <f>IF(AND($E$40&lt;&gt;0,E38&gt;($E$40*1.45)),(E38-($E$40*1.45))*VLOOKUP($AD$11,'Drop Downs'!$A$9:$F$59,6,FALSE),IF($E$40=0,E38*VLOOKUP($AD$11,'Drop Downs'!$A$9:$F$59,6,FALSE),"0"))</f>
        <v>81.449999999999989</v>
      </c>
      <c r="AE38" s="25"/>
      <c r="AF38" s="29">
        <f>IF(AND(E38-($E$40*2.15)&gt;0,$E$40&lt;&gt;0),(E38-($E$40*2.15))*VLOOKUP($AF$11,'Drop Downs'!$A$9:$F$44,6,FALSE),IF(E56=0,"0","0"))</f>
        <v>16.199999999999989</v>
      </c>
      <c r="AG38" s="11"/>
      <c r="AH38" s="28">
        <f t="shared" si="2"/>
        <v>1285.17</v>
      </c>
    </row>
    <row r="39" spans="1:34" ht="15.75" thickBot="1" x14ac:dyDescent="0.3">
      <c r="H39" s="31" t="s">
        <v>28</v>
      </c>
      <c r="I39" s="31"/>
      <c r="J39" s="11">
        <f>SUM(J16:J38)</f>
        <v>13792.48</v>
      </c>
      <c r="K39" s="11">
        <f t="shared" ref="K39" si="12">SUM(K16:K38)</f>
        <v>0</v>
      </c>
      <c r="L39" s="11">
        <f t="shared" ref="L39" si="13">SUM(L16:L38)</f>
        <v>7014.9</v>
      </c>
      <c r="M39" s="11">
        <f t="shared" ref="M39" si="14">SUM(M16:M38)</f>
        <v>0</v>
      </c>
      <c r="N39" s="11">
        <f t="shared" ref="N39" si="15">SUM(N16:N38)</f>
        <v>465.88349999999997</v>
      </c>
      <c r="O39" s="11">
        <f t="shared" ref="O39" si="16">SUM(O16:O38)</f>
        <v>0</v>
      </c>
      <c r="P39" s="32">
        <f t="shared" ref="P39" si="17">SUM(P16:P38)</f>
        <v>21273.263500000001</v>
      </c>
      <c r="Q39" s="30"/>
      <c r="R39" s="11">
        <f>SUM(R16:R38)</f>
        <v>13555.36</v>
      </c>
      <c r="S39" s="11">
        <f t="shared" ref="S39:X39" si="18">SUM(S16:S38)</f>
        <v>0</v>
      </c>
      <c r="T39" s="11">
        <f t="shared" si="18"/>
        <v>2700.66</v>
      </c>
      <c r="U39" s="11">
        <f t="shared" si="18"/>
        <v>0</v>
      </c>
      <c r="V39" s="11">
        <f>SUM(V16:V38)</f>
        <v>2926.3280000000004</v>
      </c>
      <c r="W39" s="11">
        <f t="shared" si="18"/>
        <v>0</v>
      </c>
      <c r="X39" s="32">
        <f t="shared" si="18"/>
        <v>19182.348000000002</v>
      </c>
      <c r="Z39" s="20">
        <f>SUM(Z16:Z38)</f>
        <v>13120.64</v>
      </c>
      <c r="AA39" s="20">
        <f t="shared" ref="AA39:AH39" si="19">SUM(AA16:AA38)</f>
        <v>0</v>
      </c>
      <c r="AB39" s="20">
        <f t="shared" si="19"/>
        <v>2700.66</v>
      </c>
      <c r="AC39" s="20">
        <f t="shared" si="19"/>
        <v>0</v>
      </c>
      <c r="AD39" s="20">
        <f t="shared" si="19"/>
        <v>1402.3500000000001</v>
      </c>
      <c r="AE39" s="20">
        <f t="shared" si="19"/>
        <v>0</v>
      </c>
      <c r="AF39" s="20">
        <f t="shared" si="19"/>
        <v>1150.4000000000001</v>
      </c>
      <c r="AG39" s="20">
        <f t="shared" si="19"/>
        <v>0</v>
      </c>
      <c r="AH39" s="33">
        <f t="shared" si="19"/>
        <v>18374.049999999996</v>
      </c>
    </row>
    <row r="40" spans="1:34" ht="15.75" thickBot="1" x14ac:dyDescent="0.3">
      <c r="D40" s="31" t="s">
        <v>53</v>
      </c>
      <c r="E40" s="34" cm="1">
        <f t="array" ref="E40">ROUND(SUM(E16:E20/3),0)</f>
        <v>132</v>
      </c>
    </row>
    <row r="41" spans="1:34" ht="4.5" customHeight="1" thickBot="1" x14ac:dyDescent="0.3"/>
    <row r="42" spans="1:34" ht="15.75" thickBot="1" x14ac:dyDescent="0.3">
      <c r="D42" s="31" t="s">
        <v>52</v>
      </c>
      <c r="E42" s="34">
        <f>ROUND(AVERAGEIF((E14:E24),"&lt;&gt;0"),0)</f>
        <v>161</v>
      </c>
    </row>
    <row r="46" spans="1:34" x14ac:dyDescent="0.25">
      <c r="D46" s="10">
        <f>E40*2.15</f>
        <v>283.8</v>
      </c>
    </row>
    <row r="81" spans="4:34" x14ac:dyDescent="0.25">
      <c r="J81" s="42" t="s">
        <v>51</v>
      </c>
      <c r="K81" s="42"/>
      <c r="L81" s="42"/>
      <c r="M81" s="42"/>
      <c r="N81" s="42"/>
      <c r="O81" s="42"/>
      <c r="P81" s="42"/>
      <c r="Q81" s="12"/>
      <c r="R81" s="42" t="s">
        <v>24</v>
      </c>
      <c r="S81" s="42"/>
      <c r="T81" s="42"/>
      <c r="U81" s="42"/>
      <c r="V81" s="42"/>
      <c r="W81" s="42"/>
      <c r="X81" s="42"/>
      <c r="Z81" s="42" t="s">
        <v>29</v>
      </c>
      <c r="AA81" s="42"/>
      <c r="AB81" s="42"/>
      <c r="AC81" s="42"/>
      <c r="AD81" s="42"/>
      <c r="AE81" s="42"/>
      <c r="AF81" s="42"/>
      <c r="AG81" s="42"/>
      <c r="AH81" s="42"/>
    </row>
    <row r="82" spans="4:34" x14ac:dyDescent="0.25">
      <c r="J82" s="13" t="s">
        <v>25</v>
      </c>
      <c r="K82" s="12"/>
      <c r="L82" s="12" t="s">
        <v>26</v>
      </c>
      <c r="M82" s="12"/>
      <c r="N82" s="12" t="s">
        <v>27</v>
      </c>
      <c r="O82" s="12"/>
      <c r="P82" s="12" t="s">
        <v>28</v>
      </c>
      <c r="Q82" s="12"/>
      <c r="R82" s="13" t="s">
        <v>25</v>
      </c>
      <c r="S82" s="12"/>
      <c r="T82" s="12" t="s">
        <v>26</v>
      </c>
      <c r="U82" s="12"/>
      <c r="V82" s="12" t="s">
        <v>27</v>
      </c>
      <c r="W82" s="12"/>
      <c r="X82" s="12" t="s">
        <v>28</v>
      </c>
      <c r="Y82" s="12"/>
      <c r="Z82" s="12" t="s">
        <v>25</v>
      </c>
      <c r="AA82" s="12"/>
      <c r="AB82" s="12" t="s">
        <v>26</v>
      </c>
      <c r="AC82" s="12"/>
      <c r="AD82" s="12" t="s">
        <v>27</v>
      </c>
      <c r="AE82" s="12"/>
      <c r="AF82" s="12" t="s">
        <v>46</v>
      </c>
      <c r="AG82" s="12"/>
      <c r="AH82" s="10" t="s">
        <v>28</v>
      </c>
    </row>
    <row r="83" spans="4:34" x14ac:dyDescent="0.25">
      <c r="D83" s="10" t="s">
        <v>57</v>
      </c>
      <c r="E83" s="10" t="s">
        <v>58</v>
      </c>
    </row>
    <row r="84" spans="4:34" ht="17.25" customHeight="1" x14ac:dyDescent="0.25">
      <c r="G84" s="10" t="s">
        <v>12</v>
      </c>
      <c r="J84" s="35">
        <f>E16</f>
        <v>125</v>
      </c>
      <c r="K84" s="35"/>
      <c r="L84" s="36"/>
      <c r="M84" s="36"/>
      <c r="N84" s="36"/>
      <c r="O84" s="37"/>
      <c r="P84" s="37">
        <f>SUM(J84:O84)</f>
        <v>125</v>
      </c>
      <c r="Q84" s="38"/>
      <c r="R84" s="37">
        <f>E14</f>
        <v>150</v>
      </c>
      <c r="S84" s="37"/>
      <c r="T84" s="39"/>
      <c r="U84" s="39"/>
      <c r="V84" s="39"/>
      <c r="W84" s="37"/>
      <c r="X84" s="37">
        <f>R84+T84+V84</f>
        <v>150</v>
      </c>
      <c r="Y84" s="37"/>
      <c r="Z84" s="37">
        <f>E14</f>
        <v>150</v>
      </c>
      <c r="AA84" s="37"/>
      <c r="AB84" s="39"/>
      <c r="AC84" s="39"/>
      <c r="AD84" s="39"/>
      <c r="AE84" s="39"/>
      <c r="AF84" s="39"/>
      <c r="AG84" s="37"/>
      <c r="AH84" s="37">
        <f>SUM(Z84:AF84)</f>
        <v>150</v>
      </c>
    </row>
    <row r="85" spans="4:34" x14ac:dyDescent="0.25">
      <c r="G85" s="10" t="s">
        <v>13</v>
      </c>
      <c r="J85" s="35">
        <f>E18</f>
        <v>130</v>
      </c>
      <c r="K85" s="35"/>
      <c r="L85" s="36"/>
      <c r="M85" s="36"/>
      <c r="N85" s="36"/>
      <c r="O85" s="37"/>
      <c r="P85" s="37">
        <f t="shared" ref="P85:P95" si="20">SUM(J85:O85)</f>
        <v>130</v>
      </c>
      <c r="Q85" s="38"/>
      <c r="R85" s="37">
        <f>E16</f>
        <v>125</v>
      </c>
      <c r="S85" s="37"/>
      <c r="T85" s="39"/>
      <c r="U85" s="39"/>
      <c r="V85" s="39"/>
      <c r="W85" s="37"/>
      <c r="X85" s="37">
        <f t="shared" ref="X85" si="21">R85+T85+V85</f>
        <v>125</v>
      </c>
      <c r="Y85" s="37"/>
      <c r="Z85" s="37">
        <f>E16</f>
        <v>125</v>
      </c>
      <c r="AA85" s="37"/>
      <c r="AB85" s="39"/>
      <c r="AC85" s="39"/>
      <c r="AD85" s="39"/>
      <c r="AE85" s="39"/>
      <c r="AF85" s="39"/>
      <c r="AG85" s="37"/>
      <c r="AH85" s="37">
        <f t="shared" ref="AH85" si="22">SUM(Z85:AF85)</f>
        <v>125</v>
      </c>
    </row>
    <row r="86" spans="4:34" x14ac:dyDescent="0.25">
      <c r="G86" s="10" t="s">
        <v>14</v>
      </c>
      <c r="J86" s="35">
        <f>E20</f>
        <v>140</v>
      </c>
      <c r="K86" s="35"/>
      <c r="L86" s="36"/>
      <c r="M86" s="36"/>
      <c r="N86" s="36"/>
      <c r="O86" s="37"/>
      <c r="P86" s="37">
        <f t="shared" si="20"/>
        <v>140</v>
      </c>
      <c r="Q86" s="38"/>
      <c r="R86" s="37">
        <f>E18</f>
        <v>130</v>
      </c>
      <c r="S86" s="37"/>
      <c r="T86" s="39"/>
      <c r="U86" s="39"/>
      <c r="V86" s="39"/>
      <c r="W86" s="37"/>
      <c r="X86" s="37">
        <f t="shared" ref="X86" si="23">R86+T86+V86</f>
        <v>130</v>
      </c>
      <c r="Y86" s="37"/>
      <c r="Z86" s="37">
        <f>E18</f>
        <v>130</v>
      </c>
      <c r="AA86" s="37"/>
      <c r="AB86" s="39"/>
      <c r="AC86" s="39"/>
      <c r="AD86" s="39"/>
      <c r="AE86" s="39"/>
      <c r="AF86" s="39"/>
      <c r="AG86" s="37"/>
      <c r="AH86" s="37">
        <f t="shared" ref="AH86" si="24">SUM(Z86:AF86)</f>
        <v>130</v>
      </c>
    </row>
    <row r="87" spans="4:34" x14ac:dyDescent="0.25">
      <c r="E87" s="10">
        <f>E40</f>
        <v>132</v>
      </c>
      <c r="G87" s="10" t="s">
        <v>56</v>
      </c>
      <c r="J87" s="35">
        <f>E22</f>
        <v>264</v>
      </c>
      <c r="K87" s="35"/>
      <c r="L87" s="36"/>
      <c r="M87" s="36"/>
      <c r="N87" s="36"/>
      <c r="O87" s="37"/>
      <c r="P87" s="37">
        <f t="shared" si="20"/>
        <v>264</v>
      </c>
      <c r="Q87" s="38"/>
      <c r="R87" s="37">
        <f>IF(AND(E22&gt;$E$40,$E$40&lt;&gt;0),(E22-T87-V87),IF($E$40=0,"0",E22))</f>
        <v>132</v>
      </c>
      <c r="S87" s="37"/>
      <c r="T87" s="35">
        <f>IF(AND(E22&gt;$E$40,E40&lt;&gt;0),(E22-$E$40)-V87,IF($E$40=0,E22,"0"))</f>
        <v>59.400000000000006</v>
      </c>
      <c r="U87" s="35"/>
      <c r="V87" s="35">
        <f>IF(AND($E$40&lt;&gt;0,E22-($E$40*1.45)&gt;0),(E22-($E$40*1.45)),"0")</f>
        <v>72.599999999999994</v>
      </c>
      <c r="W87" s="37"/>
      <c r="X87" s="37">
        <f t="shared" ref="X87" si="25">R87+T87+V87</f>
        <v>264</v>
      </c>
      <c r="Y87" s="37"/>
      <c r="Z87" s="35">
        <f>IF(AND(E22&gt;$E$40,$E$40&lt;&gt;0),(E22-AB87-AD87-AF87),IF($E$40=0,"0",E22))</f>
        <v>132</v>
      </c>
      <c r="AA87" s="37"/>
      <c r="AB87" s="35">
        <f>IF(AND(E22&gt;($E$40*1),$E$40&lt;&gt;0),(E22-$E$40)-AD87-AF87,IF($E$40=0,"0","0"))</f>
        <v>59.400000000000006</v>
      </c>
      <c r="AC87" s="37"/>
      <c r="AD87" s="37">
        <f>IF(AND(E22&gt;($E$40*1.45),$E$40&lt;&gt;0),(E22-($E$40*1.45))-AF87,IF($E$40=0,E22,"0"))</f>
        <v>72.599999999999994</v>
      </c>
      <c r="AE87" s="37"/>
      <c r="AF87" s="35" t="str">
        <f>IF(AND(E22-($E$40*2.15)&gt;0,$E$40&lt;&gt;0),(E22-($E$40*2.15)),"0")</f>
        <v>0</v>
      </c>
      <c r="AG87" s="37"/>
      <c r="AH87" s="37">
        <f t="shared" ref="AH87" si="26">SUM(Z87:AF87)</f>
        <v>264</v>
      </c>
    </row>
    <row r="88" spans="4:34" x14ac:dyDescent="0.25">
      <c r="E88" s="10">
        <f>E40</f>
        <v>132</v>
      </c>
      <c r="G88" s="10" t="s">
        <v>16</v>
      </c>
      <c r="J88" s="35">
        <f>E24</f>
        <v>156</v>
      </c>
      <c r="K88" s="35"/>
      <c r="L88" s="36"/>
      <c r="M88" s="36"/>
      <c r="N88" s="36"/>
      <c r="O88" s="37"/>
      <c r="P88" s="37">
        <f t="shared" si="20"/>
        <v>156</v>
      </c>
      <c r="Q88" s="38"/>
      <c r="R88" s="37">
        <f>IF(AND(E24&gt;$E$40,$E$40&lt;&gt;0),(E24-T88-V88),IF($E$40=0,"0",E24))</f>
        <v>156</v>
      </c>
      <c r="S88" s="37"/>
      <c r="T88" s="35" t="str">
        <f>IF(AND(E24&gt;$E$40,E41&lt;&gt;0),(E24-$E$40)-V88,IF($E$40=0,E24,"0"))</f>
        <v>0</v>
      </c>
      <c r="U88" s="35"/>
      <c r="V88" s="35" t="str">
        <f>IF(AND($E$40&lt;&gt;0,E24-($E$40*1.45)&gt;0),(E24-($E$40*1.45)),"0")</f>
        <v>0</v>
      </c>
      <c r="W88" s="37"/>
      <c r="X88" s="37">
        <f t="shared" ref="X88" si="27">R88+T88+V88</f>
        <v>156</v>
      </c>
      <c r="Y88" s="37"/>
      <c r="Z88" s="35">
        <f>IF(AND(E24&gt;$E$40,$E$40&lt;&gt;0),(E24-AB88-AD88-AF88),IF($E$40=0,"0",E24))</f>
        <v>132</v>
      </c>
      <c r="AA88" s="37"/>
      <c r="AB88" s="35">
        <f>IF(AND(E24&gt;($E$40*1),$E$40&lt;&gt;0),(E24-$E$40)-AD88-AF88,IF($E$40=0,"0","0"))</f>
        <v>24</v>
      </c>
      <c r="AC88" s="37"/>
      <c r="AD88" s="37" t="str">
        <f>IF(AND(E24&gt;($E$40*1.45),$E$40&lt;&gt;0),(E24-($E$40*1.45))-AF88,IF($E$40=0,E24,"0"))</f>
        <v>0</v>
      </c>
      <c r="AE88" s="37"/>
      <c r="AF88" s="35" t="str">
        <f>IF(AND(E24-($E$40*2.15)&gt;0,$E$40&lt;&gt;0),(E24-($E$40*2.15)),"0")</f>
        <v>0</v>
      </c>
      <c r="AG88" s="37"/>
      <c r="AH88" s="37">
        <f t="shared" ref="AH88" si="28">SUM(Z88:AF88)</f>
        <v>156</v>
      </c>
    </row>
    <row r="89" spans="4:34" x14ac:dyDescent="0.25">
      <c r="D89" s="10">
        <f>E42</f>
        <v>161</v>
      </c>
      <c r="E89" s="10">
        <f>E40</f>
        <v>132</v>
      </c>
      <c r="G89" s="10" t="s">
        <v>17</v>
      </c>
      <c r="J89" s="35">
        <f>IF(E26&gt;$E$42,E26-L89-N89,E26)</f>
        <v>161</v>
      </c>
      <c r="K89" s="35"/>
      <c r="L89" s="35">
        <f>IF(E26&gt;$E$42,(E26-$E$42)-N89,"0")</f>
        <v>72.449999999999989</v>
      </c>
      <c r="M89" s="35"/>
      <c r="N89" s="35">
        <f>IF(E26-($E$42*1.45)&gt;0,(E26-($E$42*1.45)),"0")</f>
        <v>326.55</v>
      </c>
      <c r="O89" s="37"/>
      <c r="P89" s="37">
        <f t="shared" si="20"/>
        <v>560</v>
      </c>
      <c r="Q89" s="38"/>
      <c r="R89" s="37">
        <f>IF(AND(E26&gt;$E$40,$E$40&lt;&gt;0),(E26-T89-V89),IF($E$40=0,"0",E26))</f>
        <v>132</v>
      </c>
      <c r="S89" s="37"/>
      <c r="T89" s="35">
        <f>IF(AND(E26&gt;$E$40,E40&lt;&gt;0),(E26-$E$40)-V89,IF($E$40=0,E26,"0"))</f>
        <v>59.399999999999977</v>
      </c>
      <c r="U89" s="35"/>
      <c r="V89" s="35">
        <f>IF(AND($E$40&lt;&gt;0,E26-($E$40*1.45)&gt;0),(E26-($E$40*1.45)),"0")</f>
        <v>368.6</v>
      </c>
      <c r="W89" s="37"/>
      <c r="X89" s="37">
        <f t="shared" ref="X89" si="29">R89+T89+V89</f>
        <v>560</v>
      </c>
      <c r="Y89" s="37"/>
      <c r="Z89" s="35">
        <f>IF(AND(E26&gt;$E$40,$E$40&lt;&gt;0),(E26-AB89-AD89-AF89),IF($E$40=0,"0",E26))</f>
        <v>132</v>
      </c>
      <c r="AA89" s="37"/>
      <c r="AB89" s="35">
        <f>IF(AND(E26&gt;($E$40*1),$E$40&lt;&gt;0),(E26-$E$40)-AD89-AF89,IF($E$40=0,"0","0"))</f>
        <v>59.399999999999977</v>
      </c>
      <c r="AC89" s="37"/>
      <c r="AD89" s="37">
        <f>IF(AND(E26&gt;($E$40*1.45),$E$40&lt;&gt;0),(E26-($E$40*1.45))-AF89,IF($E$40=0,E26,"0"))</f>
        <v>92.400000000000034</v>
      </c>
      <c r="AE89" s="37"/>
      <c r="AF89" s="35">
        <f>IF(AND(E26-($E$40*2.15)&gt;0,$E$40&lt;&gt;0),(E26-($E$40*2.15)),"0")</f>
        <v>276.2</v>
      </c>
      <c r="AG89" s="37"/>
      <c r="AH89" s="37">
        <f t="shared" ref="AH89" si="30">SUM(Z89:AF89)</f>
        <v>560</v>
      </c>
    </row>
    <row r="90" spans="4:34" x14ac:dyDescent="0.25">
      <c r="D90" s="10">
        <f>E42</f>
        <v>161</v>
      </c>
      <c r="E90" s="10">
        <f>E40</f>
        <v>132</v>
      </c>
      <c r="G90" s="10" t="s">
        <v>18</v>
      </c>
      <c r="J90" s="35">
        <f>IF(E28&gt;$E$42,E28-L90-N90,E28)</f>
        <v>161</v>
      </c>
      <c r="K90" s="35"/>
      <c r="L90" s="35">
        <f>IF(E28&gt;$E$42,(E28-$E$42)-N90,"0")</f>
        <v>72.449999999999989</v>
      </c>
      <c r="M90" s="35"/>
      <c r="N90" s="35">
        <f>IF(E28-($E$42*1.45)&gt;0,(E28-($E$42*1.45)),"0")</f>
        <v>168.55</v>
      </c>
      <c r="O90" s="37"/>
      <c r="P90" s="37">
        <f t="shared" si="20"/>
        <v>402</v>
      </c>
      <c r="Q90" s="38"/>
      <c r="R90" s="37">
        <f>IF(AND(E28&gt;$E$40,$E$40&lt;&gt;0),(E28-T90-V90),IF($E$40=0,"0",E28))</f>
        <v>132.00000000000003</v>
      </c>
      <c r="S90" s="37"/>
      <c r="T90" s="35">
        <f>IF(AND(E28&gt;$E$40,E40&lt;&gt;0),(E28-$E$40)-V90,IF($E$40=0,E28,"0"))</f>
        <v>59.400000000000006</v>
      </c>
      <c r="U90" s="35"/>
      <c r="V90" s="35">
        <f>IF(AND($E$40&lt;&gt;0,E28-($E$40*1.45)&gt;0),(E28-($E$40*1.45)),"0")</f>
        <v>210.6</v>
      </c>
      <c r="W90" s="37"/>
      <c r="X90" s="37">
        <f t="shared" ref="X90" si="31">R90+T90+V90</f>
        <v>402</v>
      </c>
      <c r="Y90" s="37"/>
      <c r="Z90" s="35">
        <f>IF(AND(E28&gt;$E$40,$E$40&lt;&gt;0),(E28-AB90-AD90-AF90),IF($E$40=0,"0",E28))</f>
        <v>132.00000000000003</v>
      </c>
      <c r="AA90" s="37"/>
      <c r="AB90" s="35">
        <f>IF(AND(E28&gt;($E$40*1),$E$40&lt;&gt;0),(E28-$E$40)-AD90-AF90,IF($E$40=0,"0","0"))</f>
        <v>59.400000000000006</v>
      </c>
      <c r="AC90" s="37"/>
      <c r="AD90" s="37">
        <f>IF(AND(E28&gt;($E$40*1.45),$E$40&lt;&gt;0),(E28-($E$40*1.45))-AF90,IF($E$40=0,E28,"0"))</f>
        <v>92.4</v>
      </c>
      <c r="AE90" s="37"/>
      <c r="AF90" s="35">
        <f>IF(AND(E28-($E$40*2.15)&gt;0,$E$40&lt;&gt;0),(E28-($E$40*2.15)),"0")</f>
        <v>118.19999999999999</v>
      </c>
      <c r="AG90" s="37"/>
      <c r="AH90" s="37">
        <f t="shared" ref="AH90" si="32">SUM(Z90:AF90)</f>
        <v>402.00000000000006</v>
      </c>
    </row>
    <row r="91" spans="4:34" x14ac:dyDescent="0.25">
      <c r="D91" s="10">
        <f>E42</f>
        <v>161</v>
      </c>
      <c r="E91" s="10">
        <f>E40</f>
        <v>132</v>
      </c>
      <c r="G91" s="10" t="s">
        <v>19</v>
      </c>
      <c r="J91" s="35">
        <f>IF(E30&gt;$E$42,E30-L91-N91,E30)</f>
        <v>161</v>
      </c>
      <c r="K91" s="35"/>
      <c r="L91" s="35">
        <f>IF(E30&gt;$E$42,(E30-$E$42)-N91,"0")</f>
        <v>72.449999999999989</v>
      </c>
      <c r="M91" s="35"/>
      <c r="N91" s="35">
        <f>IF(E30-($E$42*1.45)&gt;0,(E30-($E$42*1.45)),"0")</f>
        <v>240.55</v>
      </c>
      <c r="O91" s="37"/>
      <c r="P91" s="37">
        <f t="shared" si="20"/>
        <v>474</v>
      </c>
      <c r="Q91" s="38"/>
      <c r="R91" s="37">
        <f>IF(AND(E30&gt;$E$40,$E$40&lt;&gt;0),(E30-T91-V91),IF($E$40=0,"0",E30))</f>
        <v>132</v>
      </c>
      <c r="S91" s="37"/>
      <c r="T91" s="35">
        <f>IF(AND(E30&gt;$E$40,E40&lt;&gt;0),(E30-$E$40)-V91,IF($E$40=0,E30,"0"))</f>
        <v>59.399999999999977</v>
      </c>
      <c r="U91" s="35"/>
      <c r="V91" s="35">
        <f>IF(AND($E$40&lt;&gt;0,E30-($E$40*1.45)&gt;0),(E30-($E$40*1.45)),"0")</f>
        <v>282.60000000000002</v>
      </c>
      <c r="W91" s="37"/>
      <c r="X91" s="37">
        <f t="shared" ref="X91" si="33">R91+T91+V91</f>
        <v>474</v>
      </c>
      <c r="Y91" s="37"/>
      <c r="Z91" s="35">
        <f>IF(AND(E30&gt;$E$40,$E$40&lt;&gt;0),(E30-AB91-AD91-AF91),IF($E$40=0,"0",E30))</f>
        <v>132</v>
      </c>
      <c r="AA91" s="37"/>
      <c r="AB91" s="35">
        <f>IF(AND(E30&gt;($E$40*1),$E$40&lt;&gt;0),(E30-$E$40)-AD91-AF91,IF($E$40=0,"0","0"))</f>
        <v>59.399999999999977</v>
      </c>
      <c r="AC91" s="37"/>
      <c r="AD91" s="37">
        <f>IF(AND(E30&gt;($E$40*1.45),$E$40&lt;&gt;0),(E30-($E$40*1.45))-AF91,IF($E$40=0,E30,"0"))</f>
        <v>92.400000000000034</v>
      </c>
      <c r="AE91" s="37"/>
      <c r="AF91" s="35">
        <f>IF(AND(E30-($E$40*2.15)&gt;0,$E$40&lt;&gt;0),(E30-($E$40*2.15)),"0")</f>
        <v>190.2</v>
      </c>
      <c r="AG91" s="37"/>
      <c r="AH91" s="37">
        <f t="shared" ref="AH91" si="34">SUM(Z91:AF91)</f>
        <v>474</v>
      </c>
    </row>
    <row r="92" spans="4:34" x14ac:dyDescent="0.25">
      <c r="D92" s="10">
        <f>E42</f>
        <v>161</v>
      </c>
      <c r="E92" s="10">
        <f>E40</f>
        <v>132</v>
      </c>
      <c r="G92" s="10" t="s">
        <v>20</v>
      </c>
      <c r="J92" s="35">
        <f>IF(E32&gt;$E$42,E32-L92-N92,E32)</f>
        <v>160.99999999999994</v>
      </c>
      <c r="K92" s="35"/>
      <c r="L92" s="35">
        <f>IF(E32&gt;$E$42,(E32-$E$42)-N92,"0")</f>
        <v>72.449999999999989</v>
      </c>
      <c r="M92" s="35"/>
      <c r="N92" s="35">
        <f>IF(E32-($E$42*1.45)&gt;0,(E32-($E$42*1.45)),"0")</f>
        <v>367.55</v>
      </c>
      <c r="O92" s="37"/>
      <c r="P92" s="37">
        <f t="shared" si="20"/>
        <v>601</v>
      </c>
      <c r="Q92" s="38"/>
      <c r="R92" s="37">
        <f>IF(AND(E32&gt;$E$40,$E$40&lt;&gt;0),(E32-T92-V92),IF($E$40=0,"0",E32))</f>
        <v>132</v>
      </c>
      <c r="S92" s="37"/>
      <c r="T92" s="35">
        <f>IF(AND(E32&gt;$E$40,E40&lt;&gt;0),(E32-$E$40)-V92,IF($E$40=0,E32,"0"))</f>
        <v>59.399999999999977</v>
      </c>
      <c r="U92" s="35"/>
      <c r="V92" s="35">
        <f>IF(AND($E$40&lt;&gt;0,E32-($E$40*1.45)&gt;0),(E32-($E$40*1.45)),"0")</f>
        <v>409.6</v>
      </c>
      <c r="W92" s="37"/>
      <c r="X92" s="37">
        <f t="shared" ref="X92" si="35">R92+T92+V92</f>
        <v>601</v>
      </c>
      <c r="Y92" s="37"/>
      <c r="Z92" s="35">
        <f>IF(AND(E32&gt;$E$40,$E$40&lt;&gt;0),(E32-AB92-AD92-AF92),IF($E$40=0,"0",E32))</f>
        <v>132</v>
      </c>
      <c r="AA92" s="37"/>
      <c r="AB92" s="35">
        <f>IF(AND(E32&gt;($E$40*1),$E$40&lt;&gt;0),(E32-$E$40)-AD92-AF92,IF($E$40=0,"0","0"))</f>
        <v>59.399999999999977</v>
      </c>
      <c r="AC92" s="37"/>
      <c r="AD92" s="37">
        <f>IF(AND(E32&gt;($E$40*1.45),$E$40&lt;&gt;0),(E32-($E$40*1.45))-AF92,IF($E$40=0,E32,"0"))</f>
        <v>92.400000000000034</v>
      </c>
      <c r="AE92" s="37"/>
      <c r="AF92" s="35">
        <f>IF(AND(E32-($E$40*2.15)&gt;0,$E$40&lt;&gt;0),(E32-($E$40*2.15)),"0")</f>
        <v>317.2</v>
      </c>
      <c r="AG92" s="37"/>
      <c r="AH92" s="37">
        <f t="shared" ref="AH92" si="36">SUM(Z92:AF92)</f>
        <v>601</v>
      </c>
    </row>
    <row r="93" spans="4:34" x14ac:dyDescent="0.25">
      <c r="D93" s="10">
        <f>E42</f>
        <v>161</v>
      </c>
      <c r="E93" s="10">
        <f>E40</f>
        <v>132</v>
      </c>
      <c r="G93" s="10" t="s">
        <v>21</v>
      </c>
      <c r="J93" s="35">
        <f>IF(E34&gt;$E$42,E34-L93-N93,E34)</f>
        <v>161</v>
      </c>
      <c r="K93" s="35"/>
      <c r="L93" s="35">
        <f>IF(E34&gt;$E$42,(E34-$E$42)-N93,"0")</f>
        <v>72.449999999999989</v>
      </c>
      <c r="M93" s="35"/>
      <c r="N93" s="35">
        <f>IF(E34-($E$42*1.45)&gt;0,(E34-($E$42*1.45)),"0")</f>
        <v>266.55</v>
      </c>
      <c r="O93" s="37"/>
      <c r="P93" s="37">
        <f t="shared" si="20"/>
        <v>500</v>
      </c>
      <c r="Q93" s="38"/>
      <c r="R93" s="37">
        <f>IF(AND(E34&gt;$E$40,$E$40&lt;&gt;0),(E34-T93-V93),IF($E$40=0,"0",E34))</f>
        <v>132</v>
      </c>
      <c r="S93" s="37"/>
      <c r="T93" s="35">
        <f>IF(AND(E34&gt;$E$40,E40&lt;&gt;0),(E34-$E$40)-V93,IF($E$40=0,E34,"0"))</f>
        <v>59.399999999999977</v>
      </c>
      <c r="U93" s="35"/>
      <c r="V93" s="35">
        <f>IF(AND($E$40&lt;&gt;0,E34-($E$40*1.45)&gt;0),(E34-($E$40*1.45)),"0")</f>
        <v>308.60000000000002</v>
      </c>
      <c r="W93" s="37"/>
      <c r="X93" s="37">
        <f t="shared" ref="X93" si="37">R93+T93+V93</f>
        <v>500</v>
      </c>
      <c r="Y93" s="37"/>
      <c r="Z93" s="35">
        <f>IF(AND(E34&gt;$E$40,$E$40&lt;&gt;0),(E34-AB93-AD93-AF93),IF($E$40=0,"0",E34))</f>
        <v>132</v>
      </c>
      <c r="AA93" s="37"/>
      <c r="AB93" s="35">
        <f>IF(AND(E34&gt;($E$40*1),$E$40&lt;&gt;0),(E34-$E$40)-AD93-AF93,IF($E$40=0,"0","0"))</f>
        <v>59.399999999999977</v>
      </c>
      <c r="AC93" s="37"/>
      <c r="AD93" s="37">
        <f>IF(AND(E34&gt;($E$40*1.45),$E$40&lt;&gt;0),(E34-($E$40*1.45))-AF93,IF($E$40=0,E34,"0"))</f>
        <v>92.400000000000034</v>
      </c>
      <c r="AE93" s="37"/>
      <c r="AF93" s="35">
        <f>IF(AND(E34-($E$40*2.15)&gt;0,$E$40&lt;&gt;0),(E34-($E$40*2.15)),"0")</f>
        <v>216.2</v>
      </c>
      <c r="AG93" s="37"/>
      <c r="AH93" s="37">
        <f t="shared" ref="AH93" si="38">SUM(Z93:AF93)</f>
        <v>500</v>
      </c>
    </row>
    <row r="94" spans="4:34" x14ac:dyDescent="0.25">
      <c r="D94" s="10">
        <f>E42</f>
        <v>161</v>
      </c>
      <c r="E94" s="10">
        <f>E40</f>
        <v>132</v>
      </c>
      <c r="G94" s="10" t="s">
        <v>22</v>
      </c>
      <c r="J94" s="35">
        <f>IF(E36&gt;$E$42,E36-L94-N94,E36)</f>
        <v>161</v>
      </c>
      <c r="K94" s="35"/>
      <c r="L94" s="35">
        <f>IF(E36&gt;$E$42,(E36-$E$42)-N94,"0")</f>
        <v>72.449999999999989</v>
      </c>
      <c r="M94" s="35"/>
      <c r="N94" s="35">
        <f>IF(E36-($E$42*1.45)&gt;0,(E36-($E$42*1.45)),"0")</f>
        <v>66.550000000000011</v>
      </c>
      <c r="O94" s="37"/>
      <c r="P94" s="37">
        <f t="shared" si="20"/>
        <v>300</v>
      </c>
      <c r="Q94" s="38"/>
      <c r="R94" s="37">
        <f>IF(AND(E36&gt;$E$40,$E$40&lt;&gt;0),(E36-T94-V94),IF($E$40=0,"0",E36))</f>
        <v>132</v>
      </c>
      <c r="S94" s="37"/>
      <c r="T94" s="35">
        <f>IF(AND(E36&gt;$E$40,E40&lt;&gt;0),(E36-$E$40)-V94,IF($E$40=0,E36,"0"))</f>
        <v>59.400000000000006</v>
      </c>
      <c r="U94" s="35"/>
      <c r="V94" s="35">
        <f>IF(AND($E$40&lt;&gt;0,E36-($E$40*1.45)&gt;0),(E36-($E$40*1.45)),"0")</f>
        <v>108.6</v>
      </c>
      <c r="W94" s="37"/>
      <c r="X94" s="37">
        <f t="shared" ref="X94" si="39">R94+T94+V94</f>
        <v>300</v>
      </c>
      <c r="Y94" s="37"/>
      <c r="Z94" s="35">
        <f>IF(AND(E36&gt;$E$40,$E$40&lt;&gt;0),(E36-AB94-AD94-AF94),IF($E$40=0,"0",E36))</f>
        <v>132</v>
      </c>
      <c r="AA94" s="37"/>
      <c r="AB94" s="35">
        <f>IF(AND(E36&gt;($E$40*1),$E$40&lt;&gt;0),(E36-$E$40)-AD94-AF94,IF($E$40=0,"0","0"))</f>
        <v>59.400000000000006</v>
      </c>
      <c r="AC94" s="37"/>
      <c r="AD94" s="37">
        <f>IF(AND(E36&gt;($E$40*1.45),$E$40&lt;&gt;0),(E36-($E$40*1.45))-AF94,IF($E$40=0,E36,"0"))</f>
        <v>92.4</v>
      </c>
      <c r="AE94" s="37"/>
      <c r="AF94" s="35">
        <f>IF(AND(E36-($E$40*2.15)&gt;0,$E$40&lt;&gt;0),(E36-($E$40*2.15)),"0")</f>
        <v>16.199999999999989</v>
      </c>
      <c r="AG94" s="37"/>
      <c r="AH94" s="37">
        <f t="shared" ref="AH94" si="40">SUM(Z94:AF94)</f>
        <v>300</v>
      </c>
    </row>
    <row r="95" spans="4:34" x14ac:dyDescent="0.25">
      <c r="D95" s="10">
        <f>E42</f>
        <v>161</v>
      </c>
      <c r="E95" s="10">
        <f>E40</f>
        <v>132</v>
      </c>
      <c r="G95" s="10" t="s">
        <v>23</v>
      </c>
      <c r="J95" s="35">
        <f>IF(E38&gt;$E$42,E38-L95-N95,E38)</f>
        <v>161</v>
      </c>
      <c r="K95" s="35"/>
      <c r="L95" s="35">
        <f>IF(E38&gt;$E$42,(E38-$E$42)-N95,"0")</f>
        <v>72.449999999999989</v>
      </c>
      <c r="M95" s="35"/>
      <c r="N95" s="35">
        <f>IF(E38-($E$42*1.45)&gt;0,(E38-($E$42*1.45)),"0")</f>
        <v>66.550000000000011</v>
      </c>
      <c r="O95" s="37"/>
      <c r="P95" s="37">
        <f t="shared" si="20"/>
        <v>300</v>
      </c>
      <c r="Q95" s="38"/>
      <c r="R95" s="37">
        <f>IF(AND(E38&gt;$E$40,$E$40&lt;&gt;0),(E38-T95-V95),IF($E$40=0,"0",E38))</f>
        <v>132</v>
      </c>
      <c r="S95" s="37"/>
      <c r="T95" s="35">
        <f>IF(AND(E38&gt;$E$40,E40&lt;&gt;0),(E38-$E$40)-V95,IF($E$40=0,E38,"0"))</f>
        <v>59.400000000000006</v>
      </c>
      <c r="U95" s="35"/>
      <c r="V95" s="35">
        <f>IF(AND($E$40&lt;&gt;0,E38-($E$40*1.45)&gt;0),(E38-($E$40*1.45)),"0")</f>
        <v>108.6</v>
      </c>
      <c r="W95" s="37"/>
      <c r="X95" s="40">
        <f>R95+T95+V95</f>
        <v>300</v>
      </c>
      <c r="Y95" s="37"/>
      <c r="Z95" s="35">
        <f>IF(AND(E38&gt;$E$40,$E$40&lt;&gt;0),(E38-AB95-AD95-AF95),IF($E$40=0,"0",E38))</f>
        <v>132</v>
      </c>
      <c r="AA95" s="37"/>
      <c r="AB95" s="35">
        <f>IF(AND(E38&gt;($E$40*1),$E$40&lt;&gt;0),(E38-$E$40)-AD95-AF95,IF($E$40=0,"0","0"))</f>
        <v>59.400000000000006</v>
      </c>
      <c r="AC95" s="37"/>
      <c r="AD95" s="37">
        <f>IF(AND(E38&gt;($E$40*1.45),$E$40&lt;&gt;0),(E38-($E$40*1.45))-AF95,IF($E$40=0,E38,"0"))</f>
        <v>92.4</v>
      </c>
      <c r="AE95" s="37"/>
      <c r="AF95" s="35">
        <f>IF(AND(E38-($E$40*2.15)&gt;0,$E$40&lt;&gt;0),(E38-($E$40*2.15)),"0")</f>
        <v>16.199999999999989</v>
      </c>
      <c r="AG95" s="37"/>
      <c r="AH95" s="40">
        <f t="shared" ref="AH95" si="41">SUM(Z95:AF95)</f>
        <v>300</v>
      </c>
    </row>
    <row r="96" spans="4:34" x14ac:dyDescent="0.25">
      <c r="J96" s="10"/>
      <c r="R96" s="10"/>
      <c r="AF96" s="31"/>
    </row>
  </sheetData>
  <mergeCells count="12">
    <mergeCell ref="A14:A24"/>
    <mergeCell ref="A26:A36"/>
    <mergeCell ref="H16:H20"/>
    <mergeCell ref="H22:H38"/>
    <mergeCell ref="J12:P12"/>
    <mergeCell ref="J3:AH3"/>
    <mergeCell ref="J81:P81"/>
    <mergeCell ref="R81:X81"/>
    <mergeCell ref="Z81:AH81"/>
    <mergeCell ref="R12:X12"/>
    <mergeCell ref="Z12:AH12"/>
    <mergeCell ref="J4:AH5"/>
  </mergeCells>
  <phoneticPr fontId="6" type="noConversion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DBF31E2-60CB-4F4E-9DA6-A1FFD4CD889A}">
          <x14:formula1>
            <xm:f>'Drop Downs'!$G$2:$G$4</xm:f>
          </x14:formula1>
          <xm:sqref>E8</xm:sqref>
        </x14:dataValidation>
        <x14:dataValidation type="list" allowBlank="1" showInputMessage="1" showErrorMessage="1" xr:uid="{A9A2FDDE-54AE-4BCB-98E0-769432E6B797}">
          <x14:formula1>
            <xm:f>'Drop Downs'!$I$2:$I$6</xm:f>
          </x14:formula1>
          <xm:sqref>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0EB28-701F-4C37-B9F2-37E9D784C7AA}">
  <dimension ref="A2:I59"/>
  <sheetViews>
    <sheetView topLeftCell="A23" workbookViewId="0">
      <selection activeCell="B62" sqref="B62"/>
    </sheetView>
  </sheetViews>
  <sheetFormatPr defaultRowHeight="15" x14ac:dyDescent="0.25"/>
  <cols>
    <col min="1" max="1" width="33.42578125" bestFit="1" customWidth="1"/>
    <col min="2" max="2" width="13.85546875" customWidth="1"/>
    <col min="4" max="4" width="17" customWidth="1"/>
    <col min="5" max="5" width="11.7109375" customWidth="1"/>
  </cols>
  <sheetData>
    <row r="2" spans="1:9" x14ac:dyDescent="0.25">
      <c r="D2" t="s">
        <v>2</v>
      </c>
      <c r="G2" t="s">
        <v>4</v>
      </c>
      <c r="I2" t="s">
        <v>7</v>
      </c>
    </row>
    <row r="3" spans="1:9" x14ac:dyDescent="0.25">
      <c r="D3" t="s">
        <v>3</v>
      </c>
      <c r="G3" t="s">
        <v>5</v>
      </c>
      <c r="I3" t="s">
        <v>8</v>
      </c>
    </row>
    <row r="4" spans="1:9" x14ac:dyDescent="0.25">
      <c r="G4" t="s">
        <v>6</v>
      </c>
      <c r="I4" t="s">
        <v>9</v>
      </c>
    </row>
    <row r="5" spans="1:9" x14ac:dyDescent="0.25">
      <c r="I5" t="s">
        <v>10</v>
      </c>
    </row>
    <row r="6" spans="1:9" x14ac:dyDescent="0.25">
      <c r="I6" t="s">
        <v>11</v>
      </c>
    </row>
    <row r="9" spans="1:9" x14ac:dyDescent="0.25">
      <c r="A9" s="1" t="s">
        <v>44</v>
      </c>
      <c r="B9" s="3" t="s">
        <v>30</v>
      </c>
      <c r="C9" s="3" t="s">
        <v>36</v>
      </c>
      <c r="D9" s="3" t="s">
        <v>31</v>
      </c>
      <c r="E9" s="3" t="s">
        <v>32</v>
      </c>
      <c r="F9" s="3" t="s">
        <v>33</v>
      </c>
    </row>
    <row r="10" spans="1:9" x14ac:dyDescent="0.25">
      <c r="A10" t="str">
        <f>CONCATENATE(B10,D10,C10,E10)</f>
        <v>CommercialNon Differential1ABASE</v>
      </c>
      <c r="B10" t="s">
        <v>4</v>
      </c>
      <c r="C10" t="s">
        <v>37</v>
      </c>
      <c r="D10" t="s">
        <v>40</v>
      </c>
      <c r="E10" t="s">
        <v>45</v>
      </c>
      <c r="F10" s="2">
        <v>3.43</v>
      </c>
    </row>
    <row r="11" spans="1:9" x14ac:dyDescent="0.25">
      <c r="A11" t="str">
        <f t="shared" ref="A11:A44" si="0">CONCATENATE(B11,D11,C11,E11)</f>
        <v>CommercialNon Differential1ASUR1</v>
      </c>
      <c r="B11" t="s">
        <v>4</v>
      </c>
      <c r="C11" t="s">
        <v>37</v>
      </c>
      <c r="D11" t="s">
        <v>40</v>
      </c>
      <c r="E11" t="s">
        <v>34</v>
      </c>
      <c r="F11" s="2">
        <v>1.1399999999999999</v>
      </c>
    </row>
    <row r="12" spans="1:9" x14ac:dyDescent="0.25">
      <c r="A12" t="str">
        <f t="shared" si="0"/>
        <v>CommercialNon Differential1ASUR2</v>
      </c>
      <c r="B12" t="s">
        <v>4</v>
      </c>
      <c r="C12" t="s">
        <v>37</v>
      </c>
      <c r="D12" t="s">
        <v>40</v>
      </c>
      <c r="E12" t="s">
        <v>35</v>
      </c>
      <c r="F12" s="2">
        <v>0.31</v>
      </c>
    </row>
    <row r="13" spans="1:9" x14ac:dyDescent="0.25">
      <c r="A13" t="str">
        <f t="shared" si="0"/>
        <v>CommercialNon Differential1BBASE</v>
      </c>
      <c r="B13" t="s">
        <v>4</v>
      </c>
      <c r="C13" t="s">
        <v>38</v>
      </c>
      <c r="D13" t="s">
        <v>40</v>
      </c>
      <c r="E13" t="s">
        <v>45</v>
      </c>
      <c r="F13" s="2">
        <v>3.32</v>
      </c>
    </row>
    <row r="14" spans="1:9" x14ac:dyDescent="0.25">
      <c r="A14" t="str">
        <f t="shared" si="0"/>
        <v>CommercialNon Differential1BSUR1</v>
      </c>
      <c r="B14" t="s">
        <v>4</v>
      </c>
      <c r="C14" t="s">
        <v>38</v>
      </c>
      <c r="D14" t="s">
        <v>40</v>
      </c>
      <c r="E14" t="s">
        <v>34</v>
      </c>
      <c r="F14" s="2">
        <v>1.1399999999999999</v>
      </c>
    </row>
    <row r="15" spans="1:9" x14ac:dyDescent="0.25">
      <c r="A15" t="str">
        <f t="shared" si="0"/>
        <v>CommercialNon Differential1BSUR2</v>
      </c>
      <c r="B15" t="s">
        <v>4</v>
      </c>
      <c r="C15" t="s">
        <v>38</v>
      </c>
      <c r="D15" t="s">
        <v>40</v>
      </c>
      <c r="E15" t="s">
        <v>35</v>
      </c>
      <c r="F15" s="2">
        <v>0.75</v>
      </c>
    </row>
    <row r="16" spans="1:9" x14ac:dyDescent="0.25">
      <c r="A16" t="str">
        <f t="shared" si="0"/>
        <v>CommercialNon Differential1BSUR3</v>
      </c>
      <c r="B16" t="s">
        <v>4</v>
      </c>
      <c r="C16" t="s">
        <v>38</v>
      </c>
      <c r="D16" t="s">
        <v>40</v>
      </c>
      <c r="E16" t="s">
        <v>39</v>
      </c>
      <c r="F16" s="2">
        <v>1</v>
      </c>
    </row>
    <row r="17" spans="1:6" x14ac:dyDescent="0.25">
      <c r="A17" t="str">
        <f t="shared" si="0"/>
        <v>IndustrialNon Differential1ABASE</v>
      </c>
      <c r="B17" t="s">
        <v>5</v>
      </c>
      <c r="C17" t="s">
        <v>37</v>
      </c>
      <c r="D17" t="s">
        <v>40</v>
      </c>
      <c r="E17" t="s">
        <v>45</v>
      </c>
      <c r="F17" s="2">
        <v>3.5</v>
      </c>
    </row>
    <row r="18" spans="1:6" x14ac:dyDescent="0.25">
      <c r="A18" t="str">
        <f t="shared" si="0"/>
        <v>IndustrialNon Differential1ASUR1</v>
      </c>
      <c r="B18" t="s">
        <v>5</v>
      </c>
      <c r="C18" t="s">
        <v>37</v>
      </c>
      <c r="D18" t="s">
        <v>40</v>
      </c>
      <c r="E18" t="s">
        <v>34</v>
      </c>
      <c r="F18" s="2">
        <v>1.1399999999999999</v>
      </c>
    </row>
    <row r="19" spans="1:6" x14ac:dyDescent="0.25">
      <c r="A19" t="str">
        <f t="shared" si="0"/>
        <v>IndustrialNon Differential1ASUR2</v>
      </c>
      <c r="B19" t="s">
        <v>5</v>
      </c>
      <c r="C19" t="s">
        <v>37</v>
      </c>
      <c r="D19" t="s">
        <v>40</v>
      </c>
      <c r="E19" t="s">
        <v>35</v>
      </c>
      <c r="F19" s="2">
        <v>0.31</v>
      </c>
    </row>
    <row r="20" spans="1:6" x14ac:dyDescent="0.25">
      <c r="A20" t="str">
        <f t="shared" si="0"/>
        <v>IndustrialNon Differential1BBASE</v>
      </c>
      <c r="B20" t="s">
        <v>5</v>
      </c>
      <c r="C20" t="s">
        <v>38</v>
      </c>
      <c r="D20" t="s">
        <v>40</v>
      </c>
      <c r="E20" t="s">
        <v>45</v>
      </c>
      <c r="F20" s="2">
        <v>3.28</v>
      </c>
    </row>
    <row r="21" spans="1:6" x14ac:dyDescent="0.25">
      <c r="A21" t="str">
        <f t="shared" si="0"/>
        <v>IndustrialNon Differential1BSUR1</v>
      </c>
      <c r="B21" t="s">
        <v>5</v>
      </c>
      <c r="C21" t="s">
        <v>38</v>
      </c>
      <c r="D21" t="s">
        <v>40</v>
      </c>
      <c r="E21" t="s">
        <v>34</v>
      </c>
      <c r="F21" s="2">
        <v>1.1399999999999999</v>
      </c>
    </row>
    <row r="22" spans="1:6" x14ac:dyDescent="0.25">
      <c r="A22" t="str">
        <f t="shared" si="0"/>
        <v>IndustrialNon Differential1BSUR2</v>
      </c>
      <c r="B22" t="s">
        <v>5</v>
      </c>
      <c r="C22" t="s">
        <v>38</v>
      </c>
      <c r="D22" t="s">
        <v>40</v>
      </c>
      <c r="E22" t="s">
        <v>35</v>
      </c>
      <c r="F22" s="2">
        <v>0.75</v>
      </c>
    </row>
    <row r="23" spans="1:6" x14ac:dyDescent="0.25">
      <c r="A23" s="4" t="str">
        <f t="shared" si="0"/>
        <v>IndustrialNon Differential1BSUR3</v>
      </c>
      <c r="B23" s="4" t="s">
        <v>5</v>
      </c>
      <c r="C23" s="4" t="s">
        <v>38</v>
      </c>
      <c r="D23" s="4" t="s">
        <v>40</v>
      </c>
      <c r="E23" s="4" t="s">
        <v>39</v>
      </c>
      <c r="F23" s="5">
        <v>1</v>
      </c>
    </row>
    <row r="24" spans="1:6" x14ac:dyDescent="0.25">
      <c r="A24" t="str">
        <f t="shared" si="0"/>
        <v>CommercialDifferential1ABASE</v>
      </c>
      <c r="B24" t="s">
        <v>4</v>
      </c>
      <c r="C24" t="s">
        <v>37</v>
      </c>
      <c r="D24" t="s">
        <v>41</v>
      </c>
      <c r="E24" t="s">
        <v>45</v>
      </c>
      <c r="F24" s="2">
        <f>F10*1.1</f>
        <v>3.7730000000000006</v>
      </c>
    </row>
    <row r="25" spans="1:6" x14ac:dyDescent="0.25">
      <c r="A25" t="str">
        <f t="shared" si="0"/>
        <v>CommercialDifferential1ASUR1</v>
      </c>
      <c r="B25" t="s">
        <v>4</v>
      </c>
      <c r="C25" t="s">
        <v>37</v>
      </c>
      <c r="D25" t="s">
        <v>41</v>
      </c>
      <c r="E25" t="s">
        <v>34</v>
      </c>
      <c r="F25" s="2">
        <f t="shared" ref="F25:F37" si="1">F11*1.1</f>
        <v>1.254</v>
      </c>
    </row>
    <row r="26" spans="1:6" x14ac:dyDescent="0.25">
      <c r="A26" t="str">
        <f t="shared" si="0"/>
        <v>CommercialDifferential1ASUR2</v>
      </c>
      <c r="B26" t="s">
        <v>4</v>
      </c>
      <c r="C26" t="s">
        <v>37</v>
      </c>
      <c r="D26" t="s">
        <v>41</v>
      </c>
      <c r="E26" t="s">
        <v>35</v>
      </c>
      <c r="F26" s="2">
        <f t="shared" si="1"/>
        <v>0.34100000000000003</v>
      </c>
    </row>
    <row r="27" spans="1:6" x14ac:dyDescent="0.25">
      <c r="A27" t="str">
        <f t="shared" si="0"/>
        <v>CommercialDifferential1BBASE</v>
      </c>
      <c r="B27" t="s">
        <v>4</v>
      </c>
      <c r="C27" t="s">
        <v>38</v>
      </c>
      <c r="D27" t="s">
        <v>41</v>
      </c>
      <c r="E27" t="s">
        <v>45</v>
      </c>
      <c r="F27" s="2">
        <f t="shared" si="1"/>
        <v>3.6520000000000001</v>
      </c>
    </row>
    <row r="28" spans="1:6" x14ac:dyDescent="0.25">
      <c r="A28" t="str">
        <f t="shared" si="0"/>
        <v>CommercialDifferential1BSUR1</v>
      </c>
      <c r="B28" t="s">
        <v>4</v>
      </c>
      <c r="C28" t="s">
        <v>38</v>
      </c>
      <c r="D28" t="s">
        <v>41</v>
      </c>
      <c r="E28" t="s">
        <v>34</v>
      </c>
      <c r="F28" s="2">
        <f t="shared" si="1"/>
        <v>1.254</v>
      </c>
    </row>
    <row r="29" spans="1:6" x14ac:dyDescent="0.25">
      <c r="A29" t="str">
        <f t="shared" si="0"/>
        <v>CommercialDifferential1BSUR2</v>
      </c>
      <c r="B29" t="s">
        <v>4</v>
      </c>
      <c r="C29" t="s">
        <v>38</v>
      </c>
      <c r="D29" t="s">
        <v>41</v>
      </c>
      <c r="E29" t="s">
        <v>35</v>
      </c>
      <c r="F29" s="2">
        <f t="shared" si="1"/>
        <v>0.82500000000000007</v>
      </c>
    </row>
    <row r="30" spans="1:6" x14ac:dyDescent="0.25">
      <c r="A30" t="str">
        <f t="shared" si="0"/>
        <v>CommercialDifferential1BSUR3</v>
      </c>
      <c r="B30" t="s">
        <v>4</v>
      </c>
      <c r="C30" t="s">
        <v>38</v>
      </c>
      <c r="D30" t="s">
        <v>41</v>
      </c>
      <c r="E30" t="s">
        <v>39</v>
      </c>
      <c r="F30" s="2">
        <f t="shared" si="1"/>
        <v>1.1000000000000001</v>
      </c>
    </row>
    <row r="31" spans="1:6" x14ac:dyDescent="0.25">
      <c r="A31" t="str">
        <f t="shared" si="0"/>
        <v>IndustrialDifferential1ABASE</v>
      </c>
      <c r="B31" t="s">
        <v>5</v>
      </c>
      <c r="C31" t="s">
        <v>37</v>
      </c>
      <c r="D31" t="s">
        <v>41</v>
      </c>
      <c r="E31" t="s">
        <v>45</v>
      </c>
      <c r="F31" s="2">
        <f t="shared" si="1"/>
        <v>3.8500000000000005</v>
      </c>
    </row>
    <row r="32" spans="1:6" x14ac:dyDescent="0.25">
      <c r="A32" t="str">
        <f t="shared" si="0"/>
        <v>IndustrialDifferential1ASUR1</v>
      </c>
      <c r="B32" t="s">
        <v>5</v>
      </c>
      <c r="C32" t="s">
        <v>37</v>
      </c>
      <c r="D32" t="s">
        <v>41</v>
      </c>
      <c r="E32" t="s">
        <v>34</v>
      </c>
      <c r="F32" s="2">
        <f t="shared" si="1"/>
        <v>1.254</v>
      </c>
    </row>
    <row r="33" spans="1:6" x14ac:dyDescent="0.25">
      <c r="A33" t="str">
        <f t="shared" si="0"/>
        <v>IndustrialDifferential1ASUR2</v>
      </c>
      <c r="B33" t="s">
        <v>5</v>
      </c>
      <c r="C33" t="s">
        <v>37</v>
      </c>
      <c r="D33" t="s">
        <v>41</v>
      </c>
      <c r="E33" t="s">
        <v>35</v>
      </c>
      <c r="F33" s="2">
        <f t="shared" si="1"/>
        <v>0.34100000000000003</v>
      </c>
    </row>
    <row r="34" spans="1:6" x14ac:dyDescent="0.25">
      <c r="A34" t="str">
        <f t="shared" si="0"/>
        <v>IndustrialDifferential1BBASE</v>
      </c>
      <c r="B34" t="s">
        <v>5</v>
      </c>
      <c r="C34" t="s">
        <v>38</v>
      </c>
      <c r="D34" t="s">
        <v>41</v>
      </c>
      <c r="E34" t="s">
        <v>45</v>
      </c>
      <c r="F34" s="2">
        <f t="shared" si="1"/>
        <v>3.6080000000000001</v>
      </c>
    </row>
    <row r="35" spans="1:6" x14ac:dyDescent="0.25">
      <c r="A35" t="str">
        <f t="shared" si="0"/>
        <v>IndustrialDifferential1BSUR1</v>
      </c>
      <c r="B35" t="s">
        <v>5</v>
      </c>
      <c r="C35" t="s">
        <v>38</v>
      </c>
      <c r="D35" t="s">
        <v>41</v>
      </c>
      <c r="E35" t="s">
        <v>34</v>
      </c>
      <c r="F35" s="2">
        <f t="shared" si="1"/>
        <v>1.254</v>
      </c>
    </row>
    <row r="36" spans="1:6" x14ac:dyDescent="0.25">
      <c r="A36" t="str">
        <f t="shared" si="0"/>
        <v>IndustrialDifferential1BSUR2</v>
      </c>
      <c r="B36" t="s">
        <v>5</v>
      </c>
      <c r="C36" t="s">
        <v>38</v>
      </c>
      <c r="D36" t="s">
        <v>41</v>
      </c>
      <c r="E36" t="s">
        <v>35</v>
      </c>
      <c r="F36" s="2">
        <f t="shared" si="1"/>
        <v>0.82500000000000007</v>
      </c>
    </row>
    <row r="37" spans="1:6" x14ac:dyDescent="0.25">
      <c r="A37" s="4" t="str">
        <f t="shared" si="0"/>
        <v>IndustrialDifferential1BSUR3</v>
      </c>
      <c r="B37" s="4" t="s">
        <v>5</v>
      </c>
      <c r="C37" s="4" t="s">
        <v>38</v>
      </c>
      <c r="D37" s="4" t="s">
        <v>41</v>
      </c>
      <c r="E37" s="4" t="s">
        <v>39</v>
      </c>
      <c r="F37" s="5">
        <f t="shared" si="1"/>
        <v>1.1000000000000001</v>
      </c>
    </row>
    <row r="38" spans="1:6" x14ac:dyDescent="0.25">
      <c r="A38" t="str">
        <f t="shared" si="0"/>
        <v>TUSDNon Differential1ABASE</v>
      </c>
      <c r="B38" t="s">
        <v>6</v>
      </c>
      <c r="C38" t="s">
        <v>37</v>
      </c>
      <c r="D38" t="s">
        <v>40</v>
      </c>
      <c r="E38" t="s">
        <v>45</v>
      </c>
      <c r="F38" s="2">
        <f>F17</f>
        <v>3.5</v>
      </c>
    </row>
    <row r="39" spans="1:6" x14ac:dyDescent="0.25">
      <c r="A39" t="str">
        <f t="shared" si="0"/>
        <v>TUSDNon Differential1ASUR1</v>
      </c>
      <c r="B39" t="s">
        <v>6</v>
      </c>
      <c r="C39" t="s">
        <v>37</v>
      </c>
      <c r="D39" t="s">
        <v>40</v>
      </c>
      <c r="E39" t="s">
        <v>34</v>
      </c>
      <c r="F39" s="2">
        <f t="shared" ref="F39:F44" si="2">F18</f>
        <v>1.1399999999999999</v>
      </c>
    </row>
    <row r="40" spans="1:6" x14ac:dyDescent="0.25">
      <c r="A40" t="str">
        <f t="shared" si="0"/>
        <v>TUSDNon Differential1ASUR2</v>
      </c>
      <c r="B40" t="s">
        <v>6</v>
      </c>
      <c r="C40" t="s">
        <v>37</v>
      </c>
      <c r="D40" t="s">
        <v>40</v>
      </c>
      <c r="E40" t="s">
        <v>35</v>
      </c>
      <c r="F40" s="2">
        <f t="shared" si="2"/>
        <v>0.31</v>
      </c>
    </row>
    <row r="41" spans="1:6" x14ac:dyDescent="0.25">
      <c r="A41" t="str">
        <f t="shared" si="0"/>
        <v>TUSDNon Differential1BBASE</v>
      </c>
      <c r="B41" t="s">
        <v>6</v>
      </c>
      <c r="C41" t="s">
        <v>38</v>
      </c>
      <c r="D41" t="s">
        <v>40</v>
      </c>
      <c r="E41" t="s">
        <v>45</v>
      </c>
      <c r="F41" s="2">
        <f t="shared" si="2"/>
        <v>3.28</v>
      </c>
    </row>
    <row r="42" spans="1:6" x14ac:dyDescent="0.25">
      <c r="A42" t="str">
        <f t="shared" si="0"/>
        <v>TUSDNon Differential1BSUR1</v>
      </c>
      <c r="B42" t="s">
        <v>6</v>
      </c>
      <c r="C42" t="s">
        <v>38</v>
      </c>
      <c r="D42" t="s">
        <v>40</v>
      </c>
      <c r="E42" t="s">
        <v>34</v>
      </c>
      <c r="F42" s="2">
        <f t="shared" si="2"/>
        <v>1.1399999999999999</v>
      </c>
    </row>
    <row r="43" spans="1:6" x14ac:dyDescent="0.25">
      <c r="A43" t="str">
        <f t="shared" si="0"/>
        <v>TUSDNon Differential1BSUR2</v>
      </c>
      <c r="B43" t="s">
        <v>6</v>
      </c>
      <c r="C43" t="s">
        <v>38</v>
      </c>
      <c r="D43" t="s">
        <v>40</v>
      </c>
      <c r="E43" t="s">
        <v>35</v>
      </c>
      <c r="F43" s="2">
        <f t="shared" si="2"/>
        <v>0.75</v>
      </c>
    </row>
    <row r="44" spans="1:6" x14ac:dyDescent="0.25">
      <c r="A44" s="4" t="str">
        <f t="shared" si="0"/>
        <v>TUSDNon Differential1BSUR3</v>
      </c>
      <c r="B44" s="4" t="s">
        <v>6</v>
      </c>
      <c r="C44" s="4" t="s">
        <v>38</v>
      </c>
      <c r="D44" s="4" t="s">
        <v>40</v>
      </c>
      <c r="E44" s="4" t="s">
        <v>39</v>
      </c>
      <c r="F44" s="5">
        <f t="shared" si="2"/>
        <v>1</v>
      </c>
    </row>
    <row r="45" spans="1:6" x14ac:dyDescent="0.25">
      <c r="A45" t="str">
        <f>CONCATENATE(B45,D45,C45,E45)</f>
        <v>CommercialNon DifferentialCurrentBASE</v>
      </c>
      <c r="B45" t="s">
        <v>4</v>
      </c>
      <c r="C45" t="s">
        <v>55</v>
      </c>
      <c r="D45" t="s">
        <v>40</v>
      </c>
      <c r="E45" t="s">
        <v>45</v>
      </c>
      <c r="F45" s="2">
        <v>3.49</v>
      </c>
    </row>
    <row r="46" spans="1:6" x14ac:dyDescent="0.25">
      <c r="A46" t="str">
        <f t="shared" ref="A46:A59" si="3">CONCATENATE(B46,D46,C46,E46)</f>
        <v>CommercialNon DifferentialCurrentSUR1</v>
      </c>
      <c r="B46" t="s">
        <v>4</v>
      </c>
      <c r="C46" t="s">
        <v>55</v>
      </c>
      <c r="D46" t="s">
        <v>40</v>
      </c>
      <c r="E46" t="s">
        <v>34</v>
      </c>
      <c r="F46" s="2">
        <v>1.1399999999999999</v>
      </c>
    </row>
    <row r="47" spans="1:6" x14ac:dyDescent="0.25">
      <c r="A47" t="str">
        <f t="shared" si="3"/>
        <v>CommercialNon DifferentialCurrentSUR2</v>
      </c>
      <c r="B47" t="s">
        <v>4</v>
      </c>
      <c r="C47" t="s">
        <v>55</v>
      </c>
      <c r="D47" t="s">
        <v>40</v>
      </c>
      <c r="E47" t="s">
        <v>35</v>
      </c>
      <c r="F47" s="2">
        <v>0.31</v>
      </c>
    </row>
    <row r="48" spans="1:6" x14ac:dyDescent="0.25">
      <c r="A48" t="str">
        <f t="shared" si="3"/>
        <v>IndustrialNon DifferentialCurrentBASE</v>
      </c>
      <c r="B48" t="s">
        <v>5</v>
      </c>
      <c r="C48" t="s">
        <v>55</v>
      </c>
      <c r="D48" t="s">
        <v>40</v>
      </c>
      <c r="E48" t="s">
        <v>45</v>
      </c>
      <c r="F48" s="2">
        <v>3.53</v>
      </c>
    </row>
    <row r="49" spans="1:6" x14ac:dyDescent="0.25">
      <c r="A49" t="str">
        <f t="shared" si="3"/>
        <v>IndustrialNon DifferentialCurrentSUR1</v>
      </c>
      <c r="B49" t="s">
        <v>5</v>
      </c>
      <c r="C49" t="s">
        <v>55</v>
      </c>
      <c r="D49" t="s">
        <v>40</v>
      </c>
      <c r="E49" t="s">
        <v>34</v>
      </c>
      <c r="F49" s="2">
        <v>1.1399999999999999</v>
      </c>
    </row>
    <row r="50" spans="1:6" x14ac:dyDescent="0.25">
      <c r="A50" s="4" t="str">
        <f t="shared" si="3"/>
        <v>IndustrialNon DifferentialCurrentSUR2</v>
      </c>
      <c r="B50" s="4" t="s">
        <v>5</v>
      </c>
      <c r="C50" s="4" t="s">
        <v>55</v>
      </c>
      <c r="D50" s="4" t="s">
        <v>40</v>
      </c>
      <c r="E50" s="4" t="s">
        <v>35</v>
      </c>
      <c r="F50" s="5">
        <v>0.31</v>
      </c>
    </row>
    <row r="51" spans="1:6" x14ac:dyDescent="0.25">
      <c r="A51" t="str">
        <f t="shared" si="3"/>
        <v>CommercialDifferentialCurrentBASE</v>
      </c>
      <c r="B51" t="s">
        <v>4</v>
      </c>
      <c r="C51" t="s">
        <v>55</v>
      </c>
      <c r="D51" t="s">
        <v>41</v>
      </c>
      <c r="E51" t="s">
        <v>45</v>
      </c>
      <c r="F51" s="2">
        <f t="shared" ref="F51:F56" si="4">F45*1.1</f>
        <v>3.8390000000000004</v>
      </c>
    </row>
    <row r="52" spans="1:6" x14ac:dyDescent="0.25">
      <c r="A52" t="str">
        <f t="shared" si="3"/>
        <v>CommercialDifferentialCurrentSUR1</v>
      </c>
      <c r="B52" t="s">
        <v>4</v>
      </c>
      <c r="C52" t="s">
        <v>55</v>
      </c>
      <c r="D52" t="s">
        <v>41</v>
      </c>
      <c r="E52" t="s">
        <v>34</v>
      </c>
      <c r="F52" s="2">
        <f t="shared" si="4"/>
        <v>1.254</v>
      </c>
    </row>
    <row r="53" spans="1:6" x14ac:dyDescent="0.25">
      <c r="A53" t="str">
        <f t="shared" si="3"/>
        <v>CommercialDifferentialCurrentSUR2</v>
      </c>
      <c r="B53" t="s">
        <v>4</v>
      </c>
      <c r="C53" t="s">
        <v>55</v>
      </c>
      <c r="D53" t="s">
        <v>41</v>
      </c>
      <c r="E53" t="s">
        <v>35</v>
      </c>
      <c r="F53" s="2">
        <f t="shared" si="4"/>
        <v>0.34100000000000003</v>
      </c>
    </row>
    <row r="54" spans="1:6" x14ac:dyDescent="0.25">
      <c r="A54" t="str">
        <f t="shared" si="3"/>
        <v>IndustrialDifferentialCurrentBASE</v>
      </c>
      <c r="B54" t="s">
        <v>5</v>
      </c>
      <c r="C54" t="s">
        <v>55</v>
      </c>
      <c r="D54" t="s">
        <v>41</v>
      </c>
      <c r="E54" t="s">
        <v>45</v>
      </c>
      <c r="F54" s="2">
        <f t="shared" si="4"/>
        <v>3.883</v>
      </c>
    </row>
    <row r="55" spans="1:6" x14ac:dyDescent="0.25">
      <c r="A55" t="str">
        <f t="shared" si="3"/>
        <v>IndustrialDifferentialCurrentSUR1</v>
      </c>
      <c r="B55" t="s">
        <v>5</v>
      </c>
      <c r="C55" t="s">
        <v>55</v>
      </c>
      <c r="D55" t="s">
        <v>41</v>
      </c>
      <c r="E55" t="s">
        <v>34</v>
      </c>
      <c r="F55" s="2">
        <f t="shared" si="4"/>
        <v>1.254</v>
      </c>
    </row>
    <row r="56" spans="1:6" x14ac:dyDescent="0.25">
      <c r="A56" t="str">
        <f t="shared" si="3"/>
        <v>IndustrialDifferentialCurrentSUR2</v>
      </c>
      <c r="B56" t="s">
        <v>5</v>
      </c>
      <c r="C56" t="s">
        <v>55</v>
      </c>
      <c r="D56" t="s">
        <v>41</v>
      </c>
      <c r="E56" t="s">
        <v>35</v>
      </c>
      <c r="F56" s="2">
        <f t="shared" si="4"/>
        <v>0.34100000000000003</v>
      </c>
    </row>
    <row r="57" spans="1:6" x14ac:dyDescent="0.25">
      <c r="A57" t="str">
        <f t="shared" si="3"/>
        <v>TUSDNon DifferentialCurrentBASE</v>
      </c>
      <c r="B57" t="s">
        <v>6</v>
      </c>
      <c r="C57" t="s">
        <v>55</v>
      </c>
      <c r="D57" t="s">
        <v>40</v>
      </c>
      <c r="E57" t="s">
        <v>45</v>
      </c>
      <c r="F57" s="2">
        <f>F48</f>
        <v>3.53</v>
      </c>
    </row>
    <row r="58" spans="1:6" x14ac:dyDescent="0.25">
      <c r="A58" t="str">
        <f t="shared" si="3"/>
        <v>TUSDNon DifferentialCurrentSUR1</v>
      </c>
      <c r="B58" t="s">
        <v>6</v>
      </c>
      <c r="C58" t="s">
        <v>55</v>
      </c>
      <c r="D58" t="s">
        <v>40</v>
      </c>
      <c r="E58" t="s">
        <v>34</v>
      </c>
      <c r="F58" s="2">
        <f>F49</f>
        <v>1.1399999999999999</v>
      </c>
    </row>
    <row r="59" spans="1:6" x14ac:dyDescent="0.25">
      <c r="A59" t="str">
        <f t="shared" si="3"/>
        <v>TUSDNon DifferentialCurrentSUR2</v>
      </c>
      <c r="B59" t="s">
        <v>6</v>
      </c>
      <c r="C59" t="s">
        <v>55</v>
      </c>
      <c r="D59" t="s">
        <v>40</v>
      </c>
      <c r="E59" t="s">
        <v>35</v>
      </c>
      <c r="F59" s="2">
        <f>F50</f>
        <v>0.31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81B729B7467D429B024C1C1A2A7AAC" ma:contentTypeVersion="17" ma:contentTypeDescription="Create a new document." ma:contentTypeScope="" ma:versionID="54beb4b60c51f733cba8d768b6896b94">
  <xsd:schema xmlns:xsd="http://www.w3.org/2001/XMLSchema" xmlns:xs="http://www.w3.org/2001/XMLSchema" xmlns:p="http://schemas.microsoft.com/office/2006/metadata/properties" xmlns:ns2="339131e5-c439-4f89-9f9b-6f1f778ce48a" xmlns:ns3="61c97b4d-c22e-4d10-8b6b-debd792f2b10" targetNamespace="http://schemas.microsoft.com/office/2006/metadata/properties" ma:root="true" ma:fieldsID="70ec12e9e8b94f5ff4adce6ddf5c6b73" ns2:_="" ns3:_="">
    <xsd:import namespace="339131e5-c439-4f89-9f9b-6f1f778ce48a"/>
    <xsd:import namespace="61c97b4d-c22e-4d10-8b6b-debd792f2b1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Personnel" minOccurs="0"/>
                <xsd:element ref="ns3: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9131e5-c439-4f89-9f9b-6f1f778ce48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9051559-6c91-429a-ab85-22b4a79b23fa}" ma:internalName="TaxCatchAll" ma:showField="CatchAllData" ma:web="339131e5-c439-4f89-9f9b-6f1f778ce4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97b4d-c22e-4d10-8b6b-debd792f2b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05beffa-4d2e-4b1c-9b1a-64bb9b96fa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rsonnel" ma:index="22" nillable="true" ma:displayName="Personnel" ma:description="identify City of Tucson staff" ma:format="Dropdown" ma:list="UserInfo" ma:SharePointGroup="0" ma:internalName="Personne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s" ma:index="23" nillable="true" ma:displayName="Tags" ma:format="Dropdown" ma:internalName="Tag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F2A911-6200-45D2-A19F-6942A4478836}"/>
</file>

<file path=customXml/itemProps2.xml><?xml version="1.0" encoding="utf-8"?>
<ds:datastoreItem xmlns:ds="http://schemas.openxmlformats.org/officeDocument/2006/customXml" ds:itemID="{AA2580A3-2713-421A-A8C6-72F5B6753C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Drop Downs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Amber Kerwin</dc:creator>
  <cp:lastModifiedBy>Amber Kerwin</cp:lastModifiedBy>
  <dcterms:created xsi:type="dcterms:W3CDTF">2023-08-10T18:45:29Z</dcterms:created>
  <dcterms:modified xsi:type="dcterms:W3CDTF">2023-08-16T21:17:50Z</dcterms:modified>
</cp:coreProperties>
</file>